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2624"/>
  <workbookPr date1904="1" showInkAnnotation="0" autoCompressPictures="0"/>
  <bookViews>
    <workbookView xWindow="0" yWindow="0" windowWidth="29340" windowHeight="19280" tabRatio="828"/>
  </bookViews>
  <sheets>
    <sheet name="Instructions" sheetId="5" r:id="rId1"/>
    <sheet name="Cpx Input &amp; Models" sheetId="1" r:id="rId2"/>
    <sheet name="P v T plot" sheetId="10" r:id="rId3"/>
    <sheet name="Test for Equilibrium" sheetId="4" r:id="rId4"/>
    <sheet name="Rhodes Diag" sheetId="13" r:id="rId5"/>
    <sheet name="Rhodes Diag Calcs" sheetId="11" r:id="rId6"/>
  </sheets>
  <calcPr calcId="140001" iterate="1" concurrentCalc="0"/>
  <extLst>
    <ext xmlns:mx="http://schemas.microsoft.com/office/mac/excel/2008/main" uri="{7523E5D3-25F3-A5E0-1632-64F254C22452}">
      <mx:ArchID Flags="2"/>
    </ext>
  </extLst>
</workbook>
</file>

<file path=xl/calcChain.xml><?xml version="1.0" encoding="utf-8"?>
<calcChain xmlns="http://schemas.openxmlformats.org/spreadsheetml/2006/main">
  <c r="CZ10" i="1" l="1"/>
  <c r="DA10" i="1"/>
  <c r="DV15" i="1"/>
  <c r="DT15" i="1"/>
  <c r="FX15" i="1"/>
  <c r="DV16" i="1"/>
  <c r="DT16" i="1"/>
  <c r="FX16" i="1"/>
  <c r="DV17" i="1"/>
  <c r="DT17" i="1"/>
  <c r="FX17" i="1"/>
  <c r="DV18" i="1"/>
  <c r="DT18" i="1"/>
  <c r="FX18" i="1"/>
  <c r="CV15" i="1"/>
  <c r="CQ15" i="1"/>
  <c r="CR15" i="1"/>
  <c r="CS15" i="1"/>
  <c r="CT15" i="1"/>
  <c r="CU15" i="1"/>
  <c r="CW15" i="1"/>
  <c r="CX15" i="1"/>
  <c r="CY15" i="1"/>
  <c r="CZ15" i="1"/>
  <c r="DA15" i="1"/>
  <c r="DB15" i="1"/>
  <c r="DI15" i="1"/>
  <c r="DG15" i="1"/>
  <c r="DP15" i="1"/>
  <c r="CV16" i="1"/>
  <c r="CQ16" i="1"/>
  <c r="CR16" i="1"/>
  <c r="CS16" i="1"/>
  <c r="CT16" i="1"/>
  <c r="CU16" i="1"/>
  <c r="CW16" i="1"/>
  <c r="CX16" i="1"/>
  <c r="CY16" i="1"/>
  <c r="CZ16" i="1"/>
  <c r="DA16" i="1"/>
  <c r="DB16" i="1"/>
  <c r="DI16" i="1"/>
  <c r="DG16" i="1"/>
  <c r="DP16" i="1"/>
  <c r="CV17" i="1"/>
  <c r="CQ17" i="1"/>
  <c r="CR17" i="1"/>
  <c r="CS17" i="1"/>
  <c r="CT17" i="1"/>
  <c r="CU17" i="1"/>
  <c r="CW17" i="1"/>
  <c r="CX17" i="1"/>
  <c r="CY17" i="1"/>
  <c r="CZ17" i="1"/>
  <c r="DA17" i="1"/>
  <c r="DB17" i="1"/>
  <c r="DI17" i="1"/>
  <c r="DG17" i="1"/>
  <c r="DP17" i="1"/>
  <c r="CV18" i="1"/>
  <c r="CQ18" i="1"/>
  <c r="CR18" i="1"/>
  <c r="CS18" i="1"/>
  <c r="CT18" i="1"/>
  <c r="CU18" i="1"/>
  <c r="CW18" i="1"/>
  <c r="CX18" i="1"/>
  <c r="CY18" i="1"/>
  <c r="CZ18" i="1"/>
  <c r="DA18" i="1"/>
  <c r="DB18" i="1"/>
  <c r="DI18" i="1"/>
  <c r="DG18" i="1"/>
  <c r="DP18" i="1"/>
  <c r="K41" i="11"/>
  <c r="N41" i="11"/>
  <c r="L6" i="11"/>
  <c r="L41" i="11"/>
  <c r="M41" i="11"/>
  <c r="F41" i="11"/>
  <c r="I41" i="11"/>
  <c r="G6" i="11"/>
  <c r="G41" i="11"/>
  <c r="H41" i="11"/>
  <c r="D41" i="11"/>
  <c r="B41" i="11"/>
  <c r="C41" i="11"/>
  <c r="K40" i="11"/>
  <c r="N40" i="11"/>
  <c r="L40" i="11"/>
  <c r="M40" i="11"/>
  <c r="F40" i="11"/>
  <c r="I40" i="11"/>
  <c r="G40" i="11"/>
  <c r="H40" i="11"/>
  <c r="D40" i="11"/>
  <c r="B40" i="11"/>
  <c r="C40" i="11"/>
  <c r="K39" i="11"/>
  <c r="N39" i="11"/>
  <c r="L39" i="11"/>
  <c r="M39" i="11"/>
  <c r="F39" i="11"/>
  <c r="I39" i="11"/>
  <c r="G39" i="11"/>
  <c r="H39" i="11"/>
  <c r="D39" i="11"/>
  <c r="B39" i="11"/>
  <c r="C39" i="11"/>
  <c r="K38" i="11"/>
  <c r="N38" i="11"/>
  <c r="L38" i="11"/>
  <c r="M38" i="11"/>
  <c r="F38" i="11"/>
  <c r="I38" i="11"/>
  <c r="G38" i="11"/>
  <c r="H38" i="11"/>
  <c r="D38" i="11"/>
  <c r="B38" i="11"/>
  <c r="C38" i="11"/>
  <c r="K37" i="11"/>
  <c r="N37" i="11"/>
  <c r="L37" i="11"/>
  <c r="M37" i="11"/>
  <c r="F37" i="11"/>
  <c r="I37" i="11"/>
  <c r="G37" i="11"/>
  <c r="H37" i="11"/>
  <c r="D37" i="11"/>
  <c r="B37" i="11"/>
  <c r="C37" i="11"/>
  <c r="K36" i="11"/>
  <c r="N36" i="11"/>
  <c r="L36" i="11"/>
  <c r="M36" i="11"/>
  <c r="F36" i="11"/>
  <c r="I36" i="11"/>
  <c r="G36" i="11"/>
  <c r="H36" i="11"/>
  <c r="D36" i="11"/>
  <c r="B36" i="11"/>
  <c r="C36" i="11"/>
  <c r="K35" i="11"/>
  <c r="N35" i="11"/>
  <c r="L35" i="11"/>
  <c r="M35" i="11"/>
  <c r="F35" i="11"/>
  <c r="I35" i="11"/>
  <c r="G35" i="11"/>
  <c r="H35" i="11"/>
  <c r="D35" i="11"/>
  <c r="B35" i="11"/>
  <c r="C35" i="11"/>
  <c r="K34" i="11"/>
  <c r="N34" i="11"/>
  <c r="L34" i="11"/>
  <c r="M34" i="11"/>
  <c r="F34" i="11"/>
  <c r="I34" i="11"/>
  <c r="G34" i="11"/>
  <c r="H34" i="11"/>
  <c r="D34" i="11"/>
  <c r="B34" i="11"/>
  <c r="C34" i="11"/>
  <c r="K33" i="11"/>
  <c r="N33" i="11"/>
  <c r="L33" i="11"/>
  <c r="M33" i="11"/>
  <c r="F33" i="11"/>
  <c r="I33" i="11"/>
  <c r="G33" i="11"/>
  <c r="H33" i="11"/>
  <c r="D33" i="11"/>
  <c r="B33" i="11"/>
  <c r="C33" i="11"/>
  <c r="K32" i="11"/>
  <c r="N32" i="11"/>
  <c r="L32" i="11"/>
  <c r="M32" i="11"/>
  <c r="F32" i="11"/>
  <c r="I32" i="11"/>
  <c r="G32" i="11"/>
  <c r="H32" i="11"/>
  <c r="D32" i="11"/>
  <c r="B32" i="11"/>
  <c r="C32" i="11"/>
  <c r="K31" i="11"/>
  <c r="N31" i="11"/>
  <c r="L31" i="11"/>
  <c r="M31" i="11"/>
  <c r="F31" i="11"/>
  <c r="I31" i="11"/>
  <c r="G31" i="11"/>
  <c r="H31" i="11"/>
  <c r="D31" i="11"/>
  <c r="B31" i="11"/>
  <c r="C31" i="11"/>
  <c r="K30" i="11"/>
  <c r="N30" i="11"/>
  <c r="L30" i="11"/>
  <c r="M30" i="11"/>
  <c r="F30" i="11"/>
  <c r="I30" i="11"/>
  <c r="G30" i="11"/>
  <c r="H30" i="11"/>
  <c r="D30" i="11"/>
  <c r="B30" i="11"/>
  <c r="C30" i="11"/>
  <c r="K29" i="11"/>
  <c r="N29" i="11"/>
  <c r="L29" i="11"/>
  <c r="M29" i="11"/>
  <c r="F29" i="11"/>
  <c r="I29" i="11"/>
  <c r="G29" i="11"/>
  <c r="H29" i="11"/>
  <c r="D29" i="11"/>
  <c r="B29" i="11"/>
  <c r="C29" i="11"/>
  <c r="K28" i="11"/>
  <c r="N28" i="11"/>
  <c r="L28" i="11"/>
  <c r="M28" i="11"/>
  <c r="F28" i="11"/>
  <c r="I28" i="11"/>
  <c r="G28" i="11"/>
  <c r="H28" i="11"/>
  <c r="D28" i="11"/>
  <c r="B28" i="11"/>
  <c r="C28" i="11"/>
  <c r="K27" i="11"/>
  <c r="N27" i="11"/>
  <c r="L27" i="11"/>
  <c r="M27" i="11"/>
  <c r="F27" i="11"/>
  <c r="I27" i="11"/>
  <c r="G27" i="11"/>
  <c r="H27" i="11"/>
  <c r="D27" i="11"/>
  <c r="B27" i="11"/>
  <c r="C27" i="11"/>
  <c r="K26" i="11"/>
  <c r="N26" i="11"/>
  <c r="L26" i="11"/>
  <c r="M26" i="11"/>
  <c r="F26" i="11"/>
  <c r="I26" i="11"/>
  <c r="G26" i="11"/>
  <c r="H26" i="11"/>
  <c r="D26" i="11"/>
  <c r="B26" i="11"/>
  <c r="C26" i="11"/>
  <c r="K25" i="11"/>
  <c r="N25" i="11"/>
  <c r="L25" i="11"/>
  <c r="M25" i="11"/>
  <c r="F25" i="11"/>
  <c r="I25" i="11"/>
  <c r="G25" i="11"/>
  <c r="H25" i="11"/>
  <c r="D25" i="11"/>
  <c r="B25" i="11"/>
  <c r="C25" i="11"/>
  <c r="K24" i="11"/>
  <c r="N24" i="11"/>
  <c r="L24" i="11"/>
  <c r="M24" i="11"/>
  <c r="F24" i="11"/>
  <c r="I24" i="11"/>
  <c r="G24" i="11"/>
  <c r="H24" i="11"/>
  <c r="D24" i="11"/>
  <c r="B24" i="11"/>
  <c r="C24" i="11"/>
  <c r="K23" i="11"/>
  <c r="N23" i="11"/>
  <c r="L23" i="11"/>
  <c r="M23" i="11"/>
  <c r="F23" i="11"/>
  <c r="I23" i="11"/>
  <c r="G23" i="11"/>
  <c r="H23" i="11"/>
  <c r="D23" i="11"/>
  <c r="B23" i="11"/>
  <c r="C23" i="11"/>
  <c r="K22" i="11"/>
  <c r="N22" i="11"/>
  <c r="L22" i="11"/>
  <c r="M22" i="11"/>
  <c r="F22" i="11"/>
  <c r="I22" i="11"/>
  <c r="G22" i="11"/>
  <c r="H22" i="11"/>
  <c r="D22" i="11"/>
  <c r="B22" i="11"/>
  <c r="C22" i="11"/>
  <c r="K21" i="11"/>
  <c r="N21" i="11"/>
  <c r="L21" i="11"/>
  <c r="M21" i="11"/>
  <c r="F21" i="11"/>
  <c r="I21" i="11"/>
  <c r="G21" i="11"/>
  <c r="H21" i="11"/>
  <c r="D21" i="11"/>
  <c r="B21" i="11"/>
  <c r="C21" i="11"/>
  <c r="K20" i="11"/>
  <c r="N20" i="11"/>
  <c r="L20" i="11"/>
  <c r="M20" i="11"/>
  <c r="F20" i="11"/>
  <c r="I20" i="11"/>
  <c r="G20" i="11"/>
  <c r="H20" i="11"/>
  <c r="D20" i="11"/>
  <c r="B20" i="11"/>
  <c r="C20" i="11"/>
  <c r="K19" i="11"/>
  <c r="N19" i="11"/>
  <c r="L19" i="11"/>
  <c r="M19" i="11"/>
  <c r="F19" i="11"/>
  <c r="I19" i="11"/>
  <c r="G19" i="11"/>
  <c r="H19" i="11"/>
  <c r="D19" i="11"/>
  <c r="B19" i="11"/>
  <c r="C19" i="11"/>
  <c r="K18" i="11"/>
  <c r="N18" i="11"/>
  <c r="L18" i="11"/>
  <c r="M18" i="11"/>
  <c r="F18" i="11"/>
  <c r="I18" i="11"/>
  <c r="G18" i="11"/>
  <c r="H18" i="11"/>
  <c r="D18" i="11"/>
  <c r="B18" i="11"/>
  <c r="C18" i="11"/>
  <c r="K17" i="11"/>
  <c r="N17" i="11"/>
  <c r="L17" i="11"/>
  <c r="M17" i="11"/>
  <c r="F17" i="11"/>
  <c r="I17" i="11"/>
  <c r="G17" i="11"/>
  <c r="H17" i="11"/>
  <c r="D17" i="11"/>
  <c r="B17" i="11"/>
  <c r="C17" i="11"/>
  <c r="K16" i="11"/>
  <c r="N16" i="11"/>
  <c r="L16" i="11"/>
  <c r="M16" i="11"/>
  <c r="F16" i="11"/>
  <c r="I16" i="11"/>
  <c r="G16" i="11"/>
  <c r="H16" i="11"/>
  <c r="D16" i="11"/>
  <c r="B16" i="11"/>
  <c r="C16" i="11"/>
  <c r="K15" i="11"/>
  <c r="N15" i="11"/>
  <c r="L15" i="11"/>
  <c r="M15" i="11"/>
  <c r="F15" i="11"/>
  <c r="I15" i="11"/>
  <c r="G15" i="11"/>
  <c r="H15" i="11"/>
  <c r="D15" i="11"/>
  <c r="B15" i="11"/>
  <c r="C15" i="11"/>
  <c r="K14" i="11"/>
  <c r="N14" i="11"/>
  <c r="L14" i="11"/>
  <c r="M14" i="11"/>
  <c r="F14" i="11"/>
  <c r="I14" i="11"/>
  <c r="G14" i="11"/>
  <c r="H14" i="11"/>
  <c r="D14" i="11"/>
  <c r="B14" i="11"/>
  <c r="C14" i="11"/>
  <c r="K13" i="11"/>
  <c r="N13" i="11"/>
  <c r="L13" i="11"/>
  <c r="M13" i="11"/>
  <c r="F13" i="11"/>
  <c r="I13" i="11"/>
  <c r="G13" i="11"/>
  <c r="H13" i="11"/>
  <c r="D13" i="11"/>
  <c r="B13" i="11"/>
  <c r="C13" i="11"/>
  <c r="K12" i="11"/>
  <c r="N12" i="11"/>
  <c r="L12" i="11"/>
  <c r="M12" i="11"/>
  <c r="F12" i="11"/>
  <c r="I12" i="11"/>
  <c r="G12" i="11"/>
  <c r="H12" i="11"/>
  <c r="D12" i="11"/>
  <c r="B12" i="11"/>
  <c r="C12" i="11"/>
  <c r="K11" i="11"/>
  <c r="N11" i="11"/>
  <c r="L11" i="11"/>
  <c r="M11" i="11"/>
  <c r="F11" i="11"/>
  <c r="I11" i="11"/>
  <c r="G11" i="11"/>
  <c r="H11" i="11"/>
  <c r="D11" i="11"/>
  <c r="B11" i="11"/>
  <c r="C11" i="11"/>
  <c r="K10" i="11"/>
  <c r="N10" i="11"/>
  <c r="L10" i="11"/>
  <c r="M10" i="11"/>
  <c r="F10" i="11"/>
  <c r="I10" i="11"/>
  <c r="G10" i="11"/>
  <c r="H10" i="11"/>
  <c r="D10" i="11"/>
  <c r="B10" i="11"/>
  <c r="C10" i="11"/>
  <c r="DX15" i="1"/>
  <c r="DQ15" i="1"/>
  <c r="EC15" i="1"/>
  <c r="DR15" i="1"/>
  <c r="ED15" i="1"/>
  <c r="DS15" i="1"/>
  <c r="EE15" i="1"/>
  <c r="EF15" i="1"/>
  <c r="DU15" i="1"/>
  <c r="EG15" i="1"/>
  <c r="EH15" i="1"/>
  <c r="DW15" i="1"/>
  <c r="EI15" i="1"/>
  <c r="EJ15" i="1"/>
  <c r="DY15" i="1"/>
  <c r="EK15" i="1"/>
  <c r="DZ15" i="1"/>
  <c r="EL15" i="1"/>
  <c r="EM15" i="1"/>
  <c r="EN15" i="1"/>
  <c r="EY15" i="1"/>
  <c r="ET15" i="1"/>
  <c r="EP15" i="1"/>
  <c r="ER15" i="1"/>
  <c r="ES15" i="1"/>
  <c r="FE15" i="1"/>
  <c r="DJ15" i="1"/>
  <c r="DK15" i="1"/>
  <c r="DF15" i="1"/>
  <c r="EX15" i="1"/>
  <c r="FF15" i="1"/>
  <c r="FG15" i="1"/>
  <c r="FA15" i="1"/>
  <c r="FH15" i="1"/>
  <c r="FL15" i="1"/>
  <c r="FO15" i="1"/>
  <c r="FP15" i="1"/>
  <c r="DD15" i="1"/>
  <c r="DX16" i="1"/>
  <c r="DQ16" i="1"/>
  <c r="EC16" i="1"/>
  <c r="DR16" i="1"/>
  <c r="ED16" i="1"/>
  <c r="DS16" i="1"/>
  <c r="EE16" i="1"/>
  <c r="EF16" i="1"/>
  <c r="DU16" i="1"/>
  <c r="EG16" i="1"/>
  <c r="EH16" i="1"/>
  <c r="DW16" i="1"/>
  <c r="EI16" i="1"/>
  <c r="EJ16" i="1"/>
  <c r="DY16" i="1"/>
  <c r="EK16" i="1"/>
  <c r="DZ16" i="1"/>
  <c r="EL16" i="1"/>
  <c r="EM16" i="1"/>
  <c r="EN16" i="1"/>
  <c r="EY16" i="1"/>
  <c r="ET16" i="1"/>
  <c r="EP16" i="1"/>
  <c r="ER16" i="1"/>
  <c r="ES16" i="1"/>
  <c r="FE16" i="1"/>
  <c r="DJ16" i="1"/>
  <c r="DK16" i="1"/>
  <c r="DF16" i="1"/>
  <c r="EX16" i="1"/>
  <c r="FF16" i="1"/>
  <c r="FG16" i="1"/>
  <c r="FA16" i="1"/>
  <c r="FH16" i="1"/>
  <c r="FL16" i="1"/>
  <c r="FO16" i="1"/>
  <c r="FP16" i="1"/>
  <c r="DD16" i="1"/>
  <c r="DX17" i="1"/>
  <c r="DQ17" i="1"/>
  <c r="EC17" i="1"/>
  <c r="DR17" i="1"/>
  <c r="ED17" i="1"/>
  <c r="DS17" i="1"/>
  <c r="EE17" i="1"/>
  <c r="EF17" i="1"/>
  <c r="DU17" i="1"/>
  <c r="EG17" i="1"/>
  <c r="EH17" i="1"/>
  <c r="DW17" i="1"/>
  <c r="EI17" i="1"/>
  <c r="EJ17" i="1"/>
  <c r="DY17" i="1"/>
  <c r="EK17" i="1"/>
  <c r="DZ17" i="1"/>
  <c r="EL17" i="1"/>
  <c r="EM17" i="1"/>
  <c r="EN17" i="1"/>
  <c r="EY17" i="1"/>
  <c r="ET17" i="1"/>
  <c r="EP17" i="1"/>
  <c r="ER17" i="1"/>
  <c r="ES17" i="1"/>
  <c r="FE17" i="1"/>
  <c r="DJ17" i="1"/>
  <c r="DK17" i="1"/>
  <c r="DF17" i="1"/>
  <c r="EX17" i="1"/>
  <c r="FF17" i="1"/>
  <c r="FG17" i="1"/>
  <c r="FA17" i="1"/>
  <c r="FH17" i="1"/>
  <c r="FL17" i="1"/>
  <c r="FO17" i="1"/>
  <c r="FP17" i="1"/>
  <c r="DD17" i="1"/>
  <c r="DX18" i="1"/>
  <c r="DQ18" i="1"/>
  <c r="EC18" i="1"/>
  <c r="DR18" i="1"/>
  <c r="ED18" i="1"/>
  <c r="DS18" i="1"/>
  <c r="EE18" i="1"/>
  <c r="EF18" i="1"/>
  <c r="DU18" i="1"/>
  <c r="EG18" i="1"/>
  <c r="EH18" i="1"/>
  <c r="DW18" i="1"/>
  <c r="EI18" i="1"/>
  <c r="EJ18" i="1"/>
  <c r="DY18" i="1"/>
  <c r="EK18" i="1"/>
  <c r="DZ18" i="1"/>
  <c r="EL18" i="1"/>
  <c r="EM18" i="1"/>
  <c r="EN18" i="1"/>
  <c r="EY18" i="1"/>
  <c r="ET18" i="1"/>
  <c r="EP18" i="1"/>
  <c r="ER18" i="1"/>
  <c r="ES18" i="1"/>
  <c r="FE18" i="1"/>
  <c r="DJ18" i="1"/>
  <c r="DK18" i="1"/>
  <c r="DF18" i="1"/>
  <c r="EX18" i="1"/>
  <c r="FF18" i="1"/>
  <c r="FG18" i="1"/>
  <c r="FA18" i="1"/>
  <c r="FH18" i="1"/>
  <c r="FL18" i="1"/>
  <c r="FO18" i="1"/>
  <c r="FP18" i="1"/>
  <c r="DD18" i="1"/>
  <c r="FI18" i="1"/>
  <c r="FN18" i="1"/>
  <c r="DE18" i="1"/>
  <c r="DL18" i="1"/>
  <c r="EU18" i="1"/>
  <c r="EW18" i="1"/>
  <c r="FJ18" i="1"/>
  <c r="AW18" i="1"/>
  <c r="AX18" i="1"/>
  <c r="DM18" i="1"/>
  <c r="BU18" i="1"/>
  <c r="BX18" i="1"/>
  <c r="BY18" i="1"/>
  <c r="BZ18" i="1"/>
  <c r="CA18" i="1"/>
  <c r="CB18" i="1"/>
  <c r="CC18" i="1"/>
  <c r="CD18" i="1"/>
  <c r="CE18" i="1"/>
  <c r="EQ18" i="1"/>
  <c r="FC18" i="1"/>
  <c r="GG18" i="1"/>
  <c r="GC18" i="1"/>
  <c r="EV18" i="1"/>
  <c r="GB18" i="1"/>
  <c r="GD18" i="1"/>
  <c r="GI18" i="1"/>
  <c r="GH18" i="1"/>
  <c r="GJ18" i="1"/>
  <c r="GK18" i="1"/>
  <c r="GL18" i="1"/>
  <c r="GM18" i="1"/>
  <c r="GN18" i="1"/>
  <c r="CM18" i="1"/>
  <c r="CN18" i="1"/>
  <c r="DH18" i="1"/>
  <c r="DN18" i="1"/>
  <c r="DO18" i="1"/>
  <c r="EA18" i="1"/>
  <c r="EZ18" i="1"/>
  <c r="FB18" i="1"/>
  <c r="FD18" i="1"/>
  <c r="FK18" i="1"/>
  <c r="FM18" i="1"/>
  <c r="FW18" i="1"/>
  <c r="GA18" i="1"/>
  <c r="GE18" i="1"/>
  <c r="GF18" i="1"/>
  <c r="GO18" i="1"/>
  <c r="GP18" i="1"/>
  <c r="GQ18" i="1"/>
  <c r="GR18" i="1"/>
  <c r="GS18" i="1"/>
  <c r="GT18" i="1"/>
  <c r="GU18" i="1"/>
  <c r="GV18" i="1"/>
  <c r="GY18" i="1"/>
  <c r="GZ18" i="1"/>
  <c r="HA18" i="1"/>
  <c r="HB18" i="1"/>
  <c r="HC18" i="1"/>
  <c r="HD18" i="1"/>
  <c r="HE18" i="1"/>
  <c r="HF18" i="1"/>
  <c r="HH18" i="1"/>
  <c r="HI18" i="1"/>
  <c r="HJ18" i="1"/>
  <c r="HK18" i="1"/>
  <c r="HL18" i="1"/>
  <c r="HM18" i="1"/>
  <c r="HN18" i="1"/>
  <c r="HO18" i="1"/>
  <c r="HP18" i="1"/>
  <c r="HQ18" i="1"/>
  <c r="HR18" i="1"/>
  <c r="HS18" i="1"/>
  <c r="HT18" i="1"/>
  <c r="HU18" i="1"/>
  <c r="HV18" i="1"/>
  <c r="HX18" i="1"/>
  <c r="HY18" i="1"/>
  <c r="HZ18" i="1"/>
  <c r="IA18" i="1"/>
  <c r="IB18" i="1"/>
  <c r="IH18" i="1"/>
  <c r="IK18" i="1"/>
  <c r="IL18" i="1"/>
  <c r="IM18" i="1"/>
  <c r="FI17" i="1"/>
  <c r="FN17" i="1"/>
  <c r="DE17" i="1"/>
  <c r="DL17" i="1"/>
  <c r="EU17" i="1"/>
  <c r="EW17" i="1"/>
  <c r="FJ17" i="1"/>
  <c r="AW17" i="1"/>
  <c r="AX17" i="1"/>
  <c r="DM17" i="1"/>
  <c r="BU17" i="1"/>
  <c r="BX17" i="1"/>
  <c r="BY17" i="1"/>
  <c r="BZ17" i="1"/>
  <c r="CA17" i="1"/>
  <c r="CB17" i="1"/>
  <c r="CC17" i="1"/>
  <c r="CD17" i="1"/>
  <c r="CE17" i="1"/>
  <c r="EQ17" i="1"/>
  <c r="FC17" i="1"/>
  <c r="GG17" i="1"/>
  <c r="GC17" i="1"/>
  <c r="EV17" i="1"/>
  <c r="GB17" i="1"/>
  <c r="GD17" i="1"/>
  <c r="GI17" i="1"/>
  <c r="GH17" i="1"/>
  <c r="GJ17" i="1"/>
  <c r="GK17" i="1"/>
  <c r="GL17" i="1"/>
  <c r="GM17" i="1"/>
  <c r="GN17" i="1"/>
  <c r="CM17" i="1"/>
  <c r="CN17" i="1"/>
  <c r="DH17" i="1"/>
  <c r="DN17" i="1"/>
  <c r="DO17" i="1"/>
  <c r="EA17" i="1"/>
  <c r="EZ17" i="1"/>
  <c r="FB17" i="1"/>
  <c r="FD17" i="1"/>
  <c r="FK17" i="1"/>
  <c r="FM17" i="1"/>
  <c r="FW17" i="1"/>
  <c r="GA17" i="1"/>
  <c r="GE17" i="1"/>
  <c r="GF17" i="1"/>
  <c r="GO17" i="1"/>
  <c r="GP17" i="1"/>
  <c r="GQ17" i="1"/>
  <c r="GR17" i="1"/>
  <c r="GS17" i="1"/>
  <c r="GT17" i="1"/>
  <c r="GU17" i="1"/>
  <c r="GV17" i="1"/>
  <c r="HD17" i="1"/>
  <c r="HJ17" i="1"/>
  <c r="HK17" i="1"/>
  <c r="HM17" i="1"/>
  <c r="HO17" i="1"/>
  <c r="HP17" i="1"/>
  <c r="HL17" i="1"/>
  <c r="HH17" i="1"/>
  <c r="HI17" i="1"/>
  <c r="HQ17" i="1"/>
  <c r="HR17" i="1"/>
  <c r="HS17" i="1"/>
  <c r="HT17" i="1"/>
  <c r="HV17" i="1"/>
  <c r="HU17" i="1"/>
  <c r="HX17" i="1"/>
  <c r="GZ17" i="1"/>
  <c r="HA17" i="1"/>
  <c r="HB17" i="1"/>
  <c r="HE17" i="1"/>
  <c r="HF17" i="1"/>
  <c r="HN17" i="1"/>
  <c r="HY17" i="1"/>
  <c r="HZ17" i="1"/>
  <c r="IA17" i="1"/>
  <c r="IB17" i="1"/>
  <c r="IH17" i="1"/>
  <c r="IK17" i="1"/>
  <c r="IL17" i="1"/>
  <c r="IM17" i="1"/>
  <c r="FI15" i="1"/>
  <c r="FN15" i="1"/>
  <c r="DE15" i="1"/>
  <c r="DL15" i="1"/>
  <c r="EU15" i="1"/>
  <c r="EW15" i="1"/>
  <c r="FJ15" i="1"/>
  <c r="AW15" i="1"/>
  <c r="AX15" i="1"/>
  <c r="DM15" i="1"/>
  <c r="BU15" i="1"/>
  <c r="BX15" i="1"/>
  <c r="BY15" i="1"/>
  <c r="BZ15" i="1"/>
  <c r="CA15" i="1"/>
  <c r="CB15" i="1"/>
  <c r="CC15" i="1"/>
  <c r="CD15" i="1"/>
  <c r="CE15" i="1"/>
  <c r="EQ15" i="1"/>
  <c r="FC15" i="1"/>
  <c r="GG15" i="1"/>
  <c r="GC15" i="1"/>
  <c r="EV15" i="1"/>
  <c r="GB15" i="1"/>
  <c r="GD15" i="1"/>
  <c r="GI15" i="1"/>
  <c r="GH15" i="1"/>
  <c r="GJ15" i="1"/>
  <c r="GK15" i="1"/>
  <c r="GL15" i="1"/>
  <c r="GM15" i="1"/>
  <c r="GN15" i="1"/>
  <c r="CM15" i="1"/>
  <c r="CN15" i="1"/>
  <c r="DH15" i="1"/>
  <c r="DN15" i="1"/>
  <c r="DO15" i="1"/>
  <c r="EA15" i="1"/>
  <c r="EZ15" i="1"/>
  <c r="FB15" i="1"/>
  <c r="FD15" i="1"/>
  <c r="FK15" i="1"/>
  <c r="FM15" i="1"/>
  <c r="FW15" i="1"/>
  <c r="GA15" i="1"/>
  <c r="GE15" i="1"/>
  <c r="GF15" i="1"/>
  <c r="GO15" i="1"/>
  <c r="GP15" i="1"/>
  <c r="GQ15" i="1"/>
  <c r="GR15" i="1"/>
  <c r="GS15" i="1"/>
  <c r="GT15" i="1"/>
  <c r="GU15" i="1"/>
  <c r="GV15" i="1"/>
  <c r="HD15" i="1"/>
  <c r="HJ15" i="1"/>
  <c r="HK15" i="1"/>
  <c r="HM15" i="1"/>
  <c r="HO15" i="1"/>
  <c r="HP15" i="1"/>
  <c r="HL15" i="1"/>
  <c r="HH15" i="1"/>
  <c r="HI15" i="1"/>
  <c r="HQ15" i="1"/>
  <c r="HR15" i="1"/>
  <c r="HS15" i="1"/>
  <c r="HT15" i="1"/>
  <c r="HV15" i="1"/>
  <c r="HU15" i="1"/>
  <c r="HX15" i="1"/>
  <c r="GZ15" i="1"/>
  <c r="HA15" i="1"/>
  <c r="HB15" i="1"/>
  <c r="HE15" i="1"/>
  <c r="HF15" i="1"/>
  <c r="HN15" i="1"/>
  <c r="HY15" i="1"/>
  <c r="HZ15" i="1"/>
  <c r="IA15" i="1"/>
  <c r="IB15" i="1"/>
  <c r="IH15" i="1"/>
  <c r="IK15" i="1"/>
  <c r="IL15" i="1"/>
  <c r="IM15" i="1"/>
  <c r="FI16" i="1"/>
  <c r="FN16" i="1"/>
  <c r="DE16" i="1"/>
  <c r="DL16" i="1"/>
  <c r="EU16" i="1"/>
  <c r="EW16" i="1"/>
  <c r="FJ16" i="1"/>
  <c r="AW16" i="1"/>
  <c r="AX16" i="1"/>
  <c r="DM16" i="1"/>
  <c r="BU16" i="1"/>
  <c r="BX16" i="1"/>
  <c r="BY16" i="1"/>
  <c r="BZ16" i="1"/>
  <c r="CA16" i="1"/>
  <c r="CB16" i="1"/>
  <c r="CC16" i="1"/>
  <c r="CD16" i="1"/>
  <c r="CE16" i="1"/>
  <c r="EQ16" i="1"/>
  <c r="FC16" i="1"/>
  <c r="GG16" i="1"/>
  <c r="GC16" i="1"/>
  <c r="EV16" i="1"/>
  <c r="GB16" i="1"/>
  <c r="GD16" i="1"/>
  <c r="GI16" i="1"/>
  <c r="GH16" i="1"/>
  <c r="GJ16" i="1"/>
  <c r="GK16" i="1"/>
  <c r="GL16" i="1"/>
  <c r="GM16" i="1"/>
  <c r="GN16" i="1"/>
  <c r="CM16" i="1"/>
  <c r="CN16" i="1"/>
  <c r="DH16" i="1"/>
  <c r="DN16" i="1"/>
  <c r="DO16" i="1"/>
  <c r="EA16" i="1"/>
  <c r="EZ16" i="1"/>
  <c r="FB16" i="1"/>
  <c r="FD16" i="1"/>
  <c r="FK16" i="1"/>
  <c r="FM16" i="1"/>
  <c r="FW16" i="1"/>
  <c r="GA16" i="1"/>
  <c r="GE16" i="1"/>
  <c r="GF16" i="1"/>
  <c r="GO16" i="1"/>
  <c r="GP16" i="1"/>
  <c r="GQ16" i="1"/>
  <c r="GR16" i="1"/>
  <c r="GS16" i="1"/>
  <c r="GT16" i="1"/>
  <c r="GU16" i="1"/>
  <c r="GV16" i="1"/>
  <c r="HD16" i="1"/>
  <c r="HJ16" i="1"/>
  <c r="HK16" i="1"/>
  <c r="HM16" i="1"/>
  <c r="HO16" i="1"/>
  <c r="HP16" i="1"/>
  <c r="HL16" i="1"/>
  <c r="HH16" i="1"/>
  <c r="HI16" i="1"/>
  <c r="HQ16" i="1"/>
  <c r="HR16" i="1"/>
  <c r="HS16" i="1"/>
  <c r="HT16" i="1"/>
  <c r="HV16" i="1"/>
  <c r="HU16" i="1"/>
  <c r="HX16" i="1"/>
  <c r="GZ16" i="1"/>
  <c r="HA16" i="1"/>
  <c r="HB16" i="1"/>
  <c r="HE16" i="1"/>
  <c r="HF16" i="1"/>
  <c r="HN16" i="1"/>
  <c r="HY16" i="1"/>
  <c r="HZ16" i="1"/>
  <c r="IA16" i="1"/>
  <c r="IB16" i="1"/>
  <c r="IH16" i="1"/>
  <c r="IK16" i="1"/>
  <c r="IL16" i="1"/>
  <c r="IM16" i="1"/>
  <c r="BQ4" i="1"/>
  <c r="BQ5" i="1"/>
  <c r="BQ6" i="1"/>
  <c r="BQ3" i="1"/>
  <c r="BY14" i="1"/>
  <c r="BZ14" i="1"/>
  <c r="CB14" i="1"/>
  <c r="CC14" i="1"/>
  <c r="CA14" i="1"/>
  <c r="GY15" i="1"/>
  <c r="HC15" i="1"/>
  <c r="GY16" i="1"/>
  <c r="HC16" i="1"/>
  <c r="GY17" i="1"/>
  <c r="HC17" i="1"/>
  <c r="FV15" i="1"/>
  <c r="FY15" i="1"/>
  <c r="FZ15" i="1"/>
  <c r="GW15" i="1"/>
  <c r="II15" i="1"/>
  <c r="FV16" i="1"/>
  <c r="FY16" i="1"/>
  <c r="FZ16" i="1"/>
  <c r="GW16" i="1"/>
  <c r="II16" i="1"/>
  <c r="FV17" i="1"/>
  <c r="FY17" i="1"/>
  <c r="FZ17" i="1"/>
  <c r="GW17" i="1"/>
  <c r="II17" i="1"/>
  <c r="FV18" i="1"/>
  <c r="FY18" i="1"/>
  <c r="FZ18" i="1"/>
  <c r="GW18" i="1"/>
  <c r="II18" i="1"/>
  <c r="E15" i="1"/>
  <c r="R15" i="1"/>
  <c r="AE15" i="1"/>
  <c r="AF15" i="1"/>
  <c r="AG15" i="1"/>
  <c r="AI15" i="1"/>
  <c r="AJ15" i="1"/>
  <c r="AL15" i="1"/>
  <c r="AM15" i="1"/>
  <c r="AO15" i="1"/>
  <c r="AP15" i="1"/>
  <c r="AQ15" i="1"/>
  <c r="AS15" i="1"/>
  <c r="AT15" i="1"/>
  <c r="AU15" i="1"/>
  <c r="AY15" i="1"/>
  <c r="AZ15" i="1"/>
  <c r="BA15" i="1"/>
  <c r="BC15" i="1"/>
  <c r="BD15" i="1"/>
  <c r="BE15" i="1"/>
  <c r="BG15" i="1"/>
  <c r="BH15" i="1"/>
  <c r="BI15" i="1"/>
  <c r="BJ15" i="1"/>
  <c r="BK15" i="1"/>
  <c r="BM15" i="1"/>
  <c r="BO15" i="1"/>
  <c r="BP15" i="1"/>
  <c r="BQ15" i="1"/>
  <c r="BR15" i="1"/>
  <c r="BS15" i="1"/>
  <c r="BT15" i="1"/>
  <c r="BV15" i="1"/>
  <c r="CG15" i="1"/>
  <c r="CH15" i="1"/>
  <c r="CI15" i="1"/>
  <c r="CJ15" i="1"/>
  <c r="CK15" i="1"/>
  <c r="CO15" i="1"/>
  <c r="FQ15" i="1"/>
  <c r="FR15" i="1"/>
  <c r="FS15" i="1"/>
  <c r="FT15" i="1"/>
  <c r="FU15" i="1"/>
  <c r="GX15" i="1"/>
  <c r="IC15" i="1"/>
  <c r="ID15" i="1"/>
  <c r="IE15" i="1"/>
  <c r="IF15" i="1"/>
  <c r="IG15" i="1"/>
  <c r="E16" i="1"/>
  <c r="R16" i="1"/>
  <c r="AE16" i="1"/>
  <c r="AF16" i="1"/>
  <c r="AG16" i="1"/>
  <c r="AI16" i="1"/>
  <c r="AJ16" i="1"/>
  <c r="AL16" i="1"/>
  <c r="AM16" i="1"/>
  <c r="AO16" i="1"/>
  <c r="AP16" i="1"/>
  <c r="AQ16" i="1"/>
  <c r="AS16" i="1"/>
  <c r="AT16" i="1"/>
  <c r="AU16" i="1"/>
  <c r="AY16" i="1"/>
  <c r="AZ16" i="1"/>
  <c r="BA16" i="1"/>
  <c r="BC16" i="1"/>
  <c r="BD16" i="1"/>
  <c r="BE16" i="1"/>
  <c r="BG16" i="1"/>
  <c r="BH16" i="1"/>
  <c r="BI16" i="1"/>
  <c r="BJ16" i="1"/>
  <c r="BK16" i="1"/>
  <c r="BM16" i="1"/>
  <c r="BO16" i="1"/>
  <c r="BP16" i="1"/>
  <c r="BQ16" i="1"/>
  <c r="BR16" i="1"/>
  <c r="BS16" i="1"/>
  <c r="BT16" i="1"/>
  <c r="BV16" i="1"/>
  <c r="CG16" i="1"/>
  <c r="CH16" i="1"/>
  <c r="CI16" i="1"/>
  <c r="CJ16" i="1"/>
  <c r="CK16" i="1"/>
  <c r="CO16" i="1"/>
  <c r="FQ16" i="1"/>
  <c r="FR16" i="1"/>
  <c r="FS16" i="1"/>
  <c r="FT16" i="1"/>
  <c r="FU16" i="1"/>
  <c r="GX16" i="1"/>
  <c r="IC16" i="1"/>
  <c r="ID16" i="1"/>
  <c r="IE16" i="1"/>
  <c r="IF16" i="1"/>
  <c r="IG16" i="1"/>
  <c r="E17" i="1"/>
  <c r="R17" i="1"/>
  <c r="AE17" i="1"/>
  <c r="AF17" i="1"/>
  <c r="AG17" i="1"/>
  <c r="AI17" i="1"/>
  <c r="AJ17" i="1"/>
  <c r="AL17" i="1"/>
  <c r="AM17" i="1"/>
  <c r="AO17" i="1"/>
  <c r="AP17" i="1"/>
  <c r="AQ17" i="1"/>
  <c r="AS17" i="1"/>
  <c r="AT17" i="1"/>
  <c r="AU17" i="1"/>
  <c r="AY17" i="1"/>
  <c r="AZ17" i="1"/>
  <c r="BA17" i="1"/>
  <c r="BC17" i="1"/>
  <c r="BD17" i="1"/>
  <c r="BE17" i="1"/>
  <c r="BG17" i="1"/>
  <c r="BH17" i="1"/>
  <c r="BI17" i="1"/>
  <c r="BJ17" i="1"/>
  <c r="BK17" i="1"/>
  <c r="BM17" i="1"/>
  <c r="BO17" i="1"/>
  <c r="BP17" i="1"/>
  <c r="BQ17" i="1"/>
  <c r="BR17" i="1"/>
  <c r="BS17" i="1"/>
  <c r="BT17" i="1"/>
  <c r="BV17" i="1"/>
  <c r="CG17" i="1"/>
  <c r="CH17" i="1"/>
  <c r="CI17" i="1"/>
  <c r="CJ17" i="1"/>
  <c r="CK17" i="1"/>
  <c r="CO17" i="1"/>
  <c r="FQ17" i="1"/>
  <c r="FR17" i="1"/>
  <c r="FS17" i="1"/>
  <c r="FT17" i="1"/>
  <c r="FU17" i="1"/>
  <c r="GX17" i="1"/>
  <c r="IC17" i="1"/>
  <c r="ID17" i="1"/>
  <c r="IE17" i="1"/>
  <c r="IF17" i="1"/>
  <c r="IG17" i="1"/>
  <c r="E18" i="1"/>
  <c r="R18" i="1"/>
  <c r="AE18" i="1"/>
  <c r="AF18" i="1"/>
  <c r="AG18" i="1"/>
  <c r="AI18" i="1"/>
  <c r="AJ18" i="1"/>
  <c r="AL18" i="1"/>
  <c r="AM18" i="1"/>
  <c r="AO18" i="1"/>
  <c r="AP18" i="1"/>
  <c r="AQ18" i="1"/>
  <c r="AS18" i="1"/>
  <c r="AT18" i="1"/>
  <c r="AU18" i="1"/>
  <c r="AY18" i="1"/>
  <c r="AZ18" i="1"/>
  <c r="BA18" i="1"/>
  <c r="BC18" i="1"/>
  <c r="BD18" i="1"/>
  <c r="BE18" i="1"/>
  <c r="BG18" i="1"/>
  <c r="BH18" i="1"/>
  <c r="BI18" i="1"/>
  <c r="BJ18" i="1"/>
  <c r="BK18" i="1"/>
  <c r="BM18" i="1"/>
  <c r="BO18" i="1"/>
  <c r="BP18" i="1"/>
  <c r="BQ18" i="1"/>
  <c r="BR18" i="1"/>
  <c r="BS18" i="1"/>
  <c r="BT18" i="1"/>
  <c r="BV18" i="1"/>
  <c r="CG18" i="1"/>
  <c r="CH18" i="1"/>
  <c r="CI18" i="1"/>
  <c r="CJ18" i="1"/>
  <c r="CK18" i="1"/>
  <c r="CO18" i="1"/>
  <c r="FQ18" i="1"/>
  <c r="FR18" i="1"/>
  <c r="FS18" i="1"/>
  <c r="FT18" i="1"/>
  <c r="FU18" i="1"/>
  <c r="GX18" i="1"/>
  <c r="IC18" i="1"/>
  <c r="ID18" i="1"/>
  <c r="IE18" i="1"/>
  <c r="IF18" i="1"/>
  <c r="IG18" i="1"/>
</calcChain>
</file>

<file path=xl/comments1.xml><?xml version="1.0" encoding="utf-8"?>
<comments xmlns="http://schemas.openxmlformats.org/spreadsheetml/2006/main">
  <authors>
    <author>Keith Putirka</author>
  </authors>
  <commentList>
    <comment ref="R13" authorId="0">
      <text>
        <r>
          <rPr>
            <b/>
            <sz val="9"/>
            <color indexed="81"/>
            <rFont val="Verdana"/>
          </rPr>
          <t>Keith Putirka:</t>
        </r>
        <r>
          <rPr>
            <sz val="9"/>
            <color indexed="81"/>
            <rFont val="Verdana"/>
          </rPr>
          <t xml:space="preserve">
This is a model (published in an abstract in GSA, 2014) that calculates water concentrations when liquids are water saturated.</t>
        </r>
      </text>
    </comment>
  </commentList>
</comments>
</file>

<file path=xl/sharedStrings.xml><?xml version="1.0" encoding="utf-8"?>
<sst xmlns="http://schemas.openxmlformats.org/spreadsheetml/2006/main" count="377" uniqueCount="237">
  <si>
    <t>a</t>
  </si>
  <si>
    <t>SiO2</t>
  </si>
  <si>
    <t>Observed Cpx Components</t>
  </si>
  <si>
    <t>Predicted Cpx Components (Putirka, 1999)</t>
  </si>
  <si>
    <t>H2O</t>
  </si>
  <si>
    <t>Eqn 32a</t>
  </si>
  <si>
    <t>Cation</t>
  </si>
  <si>
    <t>Na</t>
  </si>
  <si>
    <t>Cr</t>
  </si>
  <si>
    <t>Ca</t>
  </si>
  <si>
    <t>Mg</t>
  </si>
  <si>
    <t>Mn</t>
  </si>
  <si>
    <t>Fe</t>
  </si>
  <si>
    <t>Ti</t>
  </si>
  <si>
    <t>Si</t>
  </si>
  <si>
    <t>Clinopyroxene components</t>
  </si>
  <si>
    <t>Component</t>
  </si>
  <si>
    <t xml:space="preserve">T(K ) </t>
  </si>
  <si>
    <t xml:space="preserve">P(kbar) </t>
  </si>
  <si>
    <t>Experiment/Sample</t>
  </si>
  <si>
    <t>Clinopyroxene thermobarometers</t>
  </si>
  <si>
    <t>Author (year)</t>
  </si>
  <si>
    <t>P(kbar)</t>
  </si>
  <si>
    <t>Al(IV)</t>
  </si>
  <si>
    <t>AL(VI)</t>
  </si>
  <si>
    <t>Al (total)</t>
  </si>
  <si>
    <t>Fe3+</t>
  </si>
  <si>
    <t>Jd</t>
  </si>
  <si>
    <t>CaTs</t>
  </si>
  <si>
    <t>CaTi</t>
  </si>
  <si>
    <t>CrCaTs</t>
  </si>
  <si>
    <t>DiHd (1996)</t>
  </si>
  <si>
    <t>EnFs</t>
  </si>
  <si>
    <t>DiHd (2003)</t>
  </si>
  <si>
    <t>lnK(Jd-liq)</t>
  </si>
  <si>
    <t>lnK(Jd-DiHd)</t>
  </si>
  <si>
    <t>Putirka et al (2003)</t>
  </si>
  <si>
    <t>Fe(M1)*Mg(M2)/Fe(M2)Mg(M1)</t>
  </si>
  <si>
    <t>d</t>
  </si>
  <si>
    <t>Abs</t>
  </si>
  <si>
    <t>Eqn 32b</t>
  </si>
  <si>
    <t>Nimis (1999)</t>
  </si>
  <si>
    <t>Cation Proportions</t>
  </si>
  <si>
    <t>Cation Fractions</t>
  </si>
  <si>
    <t>Mole Proportions</t>
  </si>
  <si>
    <t>Numers of oxygens</t>
  </si>
  <si>
    <t>Ca(M2)</t>
  </si>
  <si>
    <t>Gray field = input</t>
  </si>
  <si>
    <t>Blue field = output</t>
  </si>
  <si>
    <t>Leave Blank</t>
  </si>
  <si>
    <t>DiHd</t>
  </si>
  <si>
    <t>Equations</t>
  </si>
  <si>
    <t>Oxy</t>
  </si>
  <si>
    <t>Sum</t>
  </si>
  <si>
    <t>ORF</t>
  </si>
  <si>
    <t>Oxy renorm  factor</t>
  </si>
  <si>
    <t>Fe3+ from charge balance</t>
  </si>
  <si>
    <t>Putirka (2008) RiMG MODELS</t>
  </si>
  <si>
    <t>Putirka (2008) RiMG</t>
  </si>
  <si>
    <t>Nimis &amp; Ulmer (1999)</t>
  </si>
  <si>
    <t>XHD</t>
  </si>
  <si>
    <t>XEN</t>
  </si>
  <si>
    <t>XFS</t>
  </si>
  <si>
    <t>XAC+ XJD</t>
  </si>
  <si>
    <t>V1</t>
  </si>
  <si>
    <t>V2</t>
  </si>
  <si>
    <t>V3</t>
  </si>
  <si>
    <t>V4</t>
  </si>
  <si>
    <t>Zc</t>
  </si>
  <si>
    <t>V(Cell, P,T)</t>
  </si>
  <si>
    <t>P(TH)</t>
  </si>
  <si>
    <t>P(MA)</t>
  </si>
  <si>
    <t>aCpx-En</t>
  </si>
  <si>
    <t>dT</t>
  </si>
  <si>
    <t>I=1</t>
  </si>
  <si>
    <t>DM1-O</t>
  </si>
  <si>
    <t>Calcualted using normative scheme from Putirka et al. (1996)</t>
  </si>
  <si>
    <t>Na(M2)</t>
  </si>
  <si>
    <t>v(cell)</t>
  </si>
  <si>
    <t>V(M1)</t>
  </si>
  <si>
    <t>M1 charge</t>
  </si>
  <si>
    <t>alpha</t>
  </si>
  <si>
    <t>K</t>
  </si>
  <si>
    <t>dV(TM1)</t>
  </si>
  <si>
    <t>Total alkalis</t>
  </si>
  <si>
    <t>Alk boundary</t>
  </si>
  <si>
    <t>Vcell</t>
  </si>
  <si>
    <t>VM1</t>
  </si>
  <si>
    <t>P(BA)</t>
  </si>
  <si>
    <t>XFE</t>
  </si>
  <si>
    <t>XMG</t>
  </si>
  <si>
    <t>XAC</t>
  </si>
  <si>
    <t>XdNA</t>
  </si>
  <si>
    <t>XdFET= XES</t>
  </si>
  <si>
    <t>XJD</t>
  </si>
  <si>
    <t>XddNA</t>
  </si>
  <si>
    <t>XdALO</t>
  </si>
  <si>
    <t>XCATS</t>
  </si>
  <si>
    <t>XCC</t>
  </si>
  <si>
    <t>XDI</t>
  </si>
  <si>
    <t>Meas</t>
  </si>
  <si>
    <t>Nimis (1995)</t>
  </si>
  <si>
    <t>M1-M2</t>
  </si>
  <si>
    <t>solv quad</t>
  </si>
  <si>
    <t>Mean</t>
  </si>
  <si>
    <t>thol</t>
  </si>
  <si>
    <t>Mildly Alk</t>
  </si>
  <si>
    <t>Irvine and Baragar</t>
  </si>
  <si>
    <t>TH</t>
  </si>
  <si>
    <t>MA</t>
  </si>
  <si>
    <t>P(TH) or</t>
  </si>
  <si>
    <t>Nimis &amp; Taylor 2000</t>
  </si>
  <si>
    <t>b</t>
  </si>
  <si>
    <t>c</t>
  </si>
  <si>
    <t>Liquid compositons</t>
  </si>
  <si>
    <t>Cpx compositons</t>
  </si>
  <si>
    <t>Putirka et al (1996)</t>
  </si>
  <si>
    <t>TiO2</t>
  </si>
  <si>
    <t>Al2O3</t>
  </si>
  <si>
    <t>FeO</t>
  </si>
  <si>
    <t>MnO</t>
  </si>
  <si>
    <t>MgO</t>
  </si>
  <si>
    <t>CaO</t>
  </si>
  <si>
    <t>Na2O</t>
  </si>
  <si>
    <t>K2O</t>
  </si>
  <si>
    <t>Cr2O3</t>
  </si>
  <si>
    <t>P2O5</t>
  </si>
  <si>
    <t>Cations on the basis of 6 oxygens</t>
  </si>
  <si>
    <t>Lindley</t>
  </si>
  <si>
    <t>Droop</t>
  </si>
  <si>
    <t>Eqn T1</t>
  </si>
  <si>
    <t>Eqn T2</t>
  </si>
  <si>
    <t>Eqn P1</t>
  </si>
  <si>
    <t>Eqn 30</t>
  </si>
  <si>
    <t>Eqn 31</t>
  </si>
  <si>
    <t>Eqn 33</t>
  </si>
  <si>
    <t>Eqn 34</t>
  </si>
  <si>
    <t xml:space="preserve">Error on </t>
  </si>
  <si>
    <t>New Nimis-form (global</t>
  </si>
  <si>
    <t>Eqn. 32d</t>
  </si>
  <si>
    <t>Eqn 35</t>
  </si>
  <si>
    <t>FeOt</t>
  </si>
  <si>
    <t>Eqn. 32c</t>
    <phoneticPr fontId="3"/>
  </si>
  <si>
    <t>Eqn. 32c</t>
    <phoneticPr fontId="3"/>
  </si>
  <si>
    <t>P(kbar)</t>
    <phoneticPr fontId="3"/>
  </si>
  <si>
    <t>Molecular weights</t>
  </si>
  <si>
    <t>AlO3/2</t>
  </si>
  <si>
    <t>NaO0.5</t>
  </si>
  <si>
    <t>KO0.5</t>
  </si>
  <si>
    <t>CrO3/2</t>
  </si>
  <si>
    <t>PO5/2</t>
  </si>
  <si>
    <t>total</t>
  </si>
  <si>
    <t>Mg# liq</t>
  </si>
  <si>
    <t>T(K) P-ind</t>
  </si>
  <si>
    <t>T(K) P-dep</t>
  </si>
  <si>
    <t>T(K)</t>
  </si>
  <si>
    <t>T(C )</t>
  </si>
  <si>
    <t>T(K) Meas/10^4</t>
  </si>
  <si>
    <t>a(cpx-En)</t>
  </si>
  <si>
    <t>KD(Fe-Mg)</t>
  </si>
  <si>
    <t>CNM</t>
  </si>
  <si>
    <t>R3+</t>
  </si>
  <si>
    <t>M1 Fe+Mg</t>
  </si>
  <si>
    <t>M2 Fe+Mg</t>
  </si>
  <si>
    <t>Fe2+ total</t>
  </si>
  <si>
    <t>a=KD-1</t>
  </si>
  <si>
    <t>x</t>
  </si>
  <si>
    <t>Fe(M2)</t>
  </si>
  <si>
    <t>Fe(M1)</t>
  </si>
  <si>
    <t>Mg(M2)</t>
  </si>
  <si>
    <t>Mg(M1)</t>
  </si>
  <si>
    <t>Barometers (and thermometer) based on Cpx compositions only</t>
  </si>
  <si>
    <t>Results for 2003 models</t>
  </si>
  <si>
    <t>There is no intrinsic problem with mixing models. So for example, one can change the cell addresses</t>
  </si>
  <si>
    <t>so that the barometer in AP uses T(K) from AR, instead of AO</t>
  </si>
  <si>
    <t>The Default is that the 1996 and 2003 models are paired with one another for iterative P-T calculations</t>
  </si>
  <si>
    <t>The models may agree within error; if not, then the 1996 models are preferred for</t>
  </si>
  <si>
    <t>basalts, including those with high alkalis; the 2003 models are better for SiO2-rich systems</t>
  </si>
  <si>
    <t>Model P-T Output Using the 1996 and 2003 Calibrations</t>
  </si>
  <si>
    <t>Columns AF and AG are used for the Equilibirum tests of columns AV-BB</t>
  </si>
  <si>
    <t>T(K) Eqn. 33</t>
  </si>
  <si>
    <t>Use Eqn. 33 with new barometer</t>
  </si>
  <si>
    <t>Anhydrous Systems</t>
  </si>
  <si>
    <t>Sisson, T.W., Grove, T.L. (1993)</t>
  </si>
  <si>
    <t>82-62#3</t>
  </si>
  <si>
    <t>82-66#7</t>
  </si>
  <si>
    <t>82-66+NaOH#1</t>
  </si>
  <si>
    <t>DiHd error</t>
  </si>
  <si>
    <t>NEW</t>
  </si>
  <si>
    <t>Saturation</t>
  </si>
  <si>
    <t xml:space="preserve">Reported P-T </t>
  </si>
  <si>
    <t>Use Eqn. 34 with 1996 barometer</t>
  </si>
  <si>
    <t>P(kbar) 1996 P1</t>
  </si>
  <si>
    <t>Use Eqn. 33 with 1996 barometer</t>
  </si>
  <si>
    <t>T(K) Eqn. 34 (liq only)</t>
  </si>
  <si>
    <t>Putirka (1999)</t>
  </si>
  <si>
    <t>Model P-T Output for Neave and Putirka (2017)</t>
  </si>
  <si>
    <t>P(kbar) N&amp;P 2017</t>
  </si>
  <si>
    <t>Putirka 2008</t>
  </si>
  <si>
    <t>Select Value for error bounds</t>
  </si>
  <si>
    <t>Equilibrium minus 1 sigma</t>
  </si>
  <si>
    <t>Equilibrium plus 1 sigma</t>
  </si>
  <si>
    <t>100 X</t>
  </si>
  <si>
    <t>Mg/Fe-ol</t>
  </si>
  <si>
    <t>Mg/Fe-liq</t>
  </si>
  <si>
    <t>Mg#liq - 0.3</t>
  </si>
  <si>
    <t>Mg#ol - 0.3</t>
  </si>
  <si>
    <t>The Rhodes Diagram - Test for Fe-Mg echange, Cpx-liq Equilibrium</t>
  </si>
  <si>
    <t>Mg# Cpx</t>
  </si>
  <si>
    <t>Mg# Liq</t>
  </si>
  <si>
    <t>DiHd (old)</t>
  </si>
  <si>
    <t>Coefficient for melt Fe2+/Fe3+</t>
  </si>
  <si>
    <t>Experimental compositions given as examples</t>
  </si>
  <si>
    <t>Enter liquid composition here (glass or whole rock, etc.)</t>
  </si>
  <si>
    <t>Enter clinopyroxene composition here</t>
  </si>
  <si>
    <t>Liquid composition - in weight percent</t>
  </si>
  <si>
    <t>Clinopyroxene compositions - in weight percent</t>
  </si>
  <si>
    <t>T(C)</t>
  </si>
  <si>
    <r>
      <t>K</t>
    </r>
    <r>
      <rPr>
        <vertAlign val="subscript"/>
        <sz val="10"/>
        <rFont val="Verdana"/>
        <family val="2"/>
      </rPr>
      <t>D</t>
    </r>
    <r>
      <rPr>
        <sz val="10"/>
        <rFont val="Verdana"/>
      </rPr>
      <t>(Fe-Mg)</t>
    </r>
  </si>
  <si>
    <t>1) INPUT required in GRAY columns (F-Q, and T-AC)</t>
  </si>
  <si>
    <t>2) OUTPUTS are in BLUE columns (AE-CK)</t>
  </si>
  <si>
    <t>Results for new hydrous thermometer</t>
  </si>
  <si>
    <t>Results for 1996 models</t>
  </si>
  <si>
    <t>Additional output: calculated values for T and P</t>
  </si>
  <si>
    <t>one-to-one line</t>
  </si>
  <si>
    <t>Tests for equilibrium, based on Putirka (1999) models: Compare columns AV-BA to BD-BI</t>
  </si>
  <si>
    <t>See chart: test for equilibrium</t>
  </si>
  <si>
    <t>By default, these equations (columns AV-BB) use P-T output from Columns AF &amp; AG</t>
  </si>
  <si>
    <t>T(C) P-ind</t>
  </si>
  <si>
    <t>T(C) P-dep</t>
  </si>
  <si>
    <t>Cpx sat T(C)</t>
  </si>
  <si>
    <t>Calculations</t>
  </si>
  <si>
    <t>Be sure that calculations are set to "Iterative" in Excel's preferences</t>
  </si>
  <si>
    <t>Hydrous Systems</t>
  </si>
  <si>
    <t>T(C) Eqn. 33</t>
  </si>
  <si>
    <t>79-35q#12</t>
  </si>
  <si>
    <t>Select Value for KD(Fe-Mg)cpx-liq</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</si>
</sst>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
    <numFmt numFmtId="165" formatCode="0.000"/>
    <numFmt numFmtId="166" formatCode="0.0"/>
  </numFmts>
  <fonts count="27" x14ac:knownFonts="1">
    <font>
      <sz val="10"/>
      <name val="Verdana"/>
    </font>
    <font>
      <b/>
      <sz val="10"/>
      <name val="Verdana"/>
    </font>
    <font>
      <sz val="10"/>
      <name val="Verdana"/>
    </font>
    <font>
      <sz val="8"/>
      <name val="Verdana"/>
      <family val="2"/>
    </font>
    <font>
      <b/>
      <sz val="18"/>
      <color indexed="8"/>
      <name val="Verdana"/>
    </font>
    <font>
      <sz val="10"/>
      <color indexed="8"/>
      <name val="Verdana"/>
    </font>
    <font>
      <sz val="14"/>
      <color indexed="8"/>
      <name val="Verdana"/>
    </font>
    <font>
      <sz val="10"/>
      <name val="Verdana"/>
    </font>
    <font>
      <b/>
      <sz val="12"/>
      <name val="Verdana"/>
    </font>
    <font>
      <b/>
      <sz val="14"/>
      <name val="Verdana"/>
    </font>
    <font>
      <sz val="12"/>
      <name val="Verdana"/>
      <family val="2"/>
    </font>
    <font>
      <sz val="9"/>
      <color indexed="81"/>
      <name val="Verdana"/>
    </font>
    <font>
      <b/>
      <sz val="9"/>
      <color indexed="81"/>
      <name val="Verdana"/>
    </font>
    <font>
      <u/>
      <sz val="10"/>
      <color theme="10"/>
      <name val="Verdana"/>
    </font>
    <font>
      <u/>
      <sz val="10"/>
      <color theme="11"/>
      <name val="Verdana"/>
    </font>
    <font>
      <b/>
      <sz val="18"/>
      <name val="Geneva"/>
    </font>
    <font>
      <sz val="14"/>
      <name val="Verdana"/>
    </font>
    <font>
      <b/>
      <sz val="10"/>
      <color indexed="8"/>
      <name val="Verdana"/>
      <family val="2"/>
    </font>
    <font>
      <sz val="10"/>
      <name val="Verdana"/>
      <family val="2"/>
    </font>
    <font>
      <b/>
      <sz val="10"/>
      <color rgb="FFFF0000"/>
      <name val="Verdana"/>
      <family val="2"/>
    </font>
    <font>
      <sz val="10"/>
      <color indexed="8"/>
      <name val="Verdana"/>
      <family val="2"/>
    </font>
    <font>
      <vertAlign val="subscript"/>
      <sz val="10"/>
      <name val="Verdana"/>
      <family val="2"/>
    </font>
    <font>
      <b/>
      <sz val="10"/>
      <name val="Verdana"/>
      <family val="2"/>
    </font>
    <font>
      <sz val="12"/>
      <color indexed="8"/>
      <name val="Verdana"/>
      <family val="2"/>
    </font>
    <font>
      <b/>
      <sz val="12"/>
      <color rgb="FFFF0000"/>
      <name val="Verdana"/>
      <family val="2"/>
    </font>
    <font>
      <b/>
      <sz val="12"/>
      <name val="Verdana"/>
      <family val="2"/>
    </font>
    <font>
      <sz val="10"/>
      <color rgb="FFFF0000"/>
      <name val="Verdana"/>
      <family val="2"/>
    </font>
  </fonts>
  <fills count="8">
    <fill>
      <patternFill patternType="none"/>
    </fill>
    <fill>
      <patternFill patternType="gray125"/>
    </fill>
    <fill>
      <patternFill patternType="solid">
        <fgColor indexed="22"/>
        <bgColor indexed="64"/>
      </patternFill>
    </fill>
    <fill>
      <patternFill patternType="solid">
        <fgColor indexed="44"/>
        <bgColor indexed="64"/>
      </patternFill>
    </fill>
    <fill>
      <patternFill patternType="solid">
        <fgColor theme="3" tint="0.59999389629810485"/>
        <bgColor indexed="64"/>
      </patternFill>
    </fill>
    <fill>
      <patternFill patternType="solid">
        <fgColor theme="4" tint="0.59999389629810485"/>
        <bgColor indexed="64"/>
      </patternFill>
    </fill>
    <fill>
      <patternFill patternType="solid">
        <fgColor theme="3" tint="0.79998168889431442"/>
        <bgColor indexed="64"/>
      </patternFill>
    </fill>
    <fill>
      <patternFill patternType="solid">
        <fgColor theme="0" tint="-0.14999847407452621"/>
        <bgColor indexed="64"/>
      </patternFill>
    </fill>
  </fills>
  <borders count="21">
    <border>
      <left/>
      <right/>
      <top/>
      <bottom/>
      <diagonal/>
    </border>
    <border>
      <left/>
      <right/>
      <top style="medium">
        <color auto="1"/>
      </top>
      <bottom/>
      <diagonal/>
    </border>
    <border>
      <left/>
      <right/>
      <top/>
      <bottom style="medium">
        <color auto="1"/>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right style="thin">
        <color auto="1"/>
      </right>
      <top/>
      <bottom/>
      <diagonal/>
    </border>
    <border>
      <left style="thin">
        <color auto="1"/>
      </left>
      <right/>
      <top/>
      <bottom/>
      <diagonal/>
    </border>
    <border>
      <left style="thin">
        <color auto="1"/>
      </left>
      <right style="thin">
        <color auto="1"/>
      </right>
      <top style="thin">
        <color auto="1"/>
      </top>
      <bottom style="thin">
        <color auto="1"/>
      </bottom>
      <diagonal/>
    </border>
    <border>
      <left/>
      <right/>
      <top style="medium">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medium">
        <color auto="1"/>
      </top>
      <bottom style="medium">
        <color auto="1"/>
      </bottom>
      <diagonal/>
    </border>
  </borders>
  <cellStyleXfs count="45">
    <xf numFmtId="0" fontId="0" fillId="0" borderId="0"/>
    <xf numFmtId="0" fontId="10" fillId="0" borderId="0"/>
    <xf numFmtId="0" fontId="2" fillId="0" borderId="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cellStyleXfs>
  <cellXfs count="190">
    <xf numFmtId="0" fontId="0" fillId="0" borderId="0" xfId="0"/>
    <xf numFmtId="0" fontId="2" fillId="0" borderId="0" xfId="0" applyFont="1" applyFill="1"/>
    <xf numFmtId="164" fontId="2" fillId="0" borderId="0" xfId="0" applyNumberFormat="1" applyFont="1" applyFill="1"/>
    <xf numFmtId="0" fontId="2" fillId="0" borderId="0" xfId="0" applyFont="1" applyFill="1" applyAlignment="1">
      <alignment horizontal="center"/>
    </xf>
    <xf numFmtId="2" fontId="2" fillId="0" borderId="0" xfId="0" applyNumberFormat="1" applyFont="1" applyFill="1" applyAlignment="1">
      <alignment horizontal="center"/>
    </xf>
    <xf numFmtId="0" fontId="5" fillId="0" borderId="0" xfId="0" applyFont="1" applyFill="1" applyAlignment="1">
      <alignment horizontal="center"/>
    </xf>
    <xf numFmtId="0" fontId="0" fillId="0" borderId="0" xfId="0" applyAlignment="1">
      <alignment horizontal="center"/>
    </xf>
    <xf numFmtId="0" fontId="2" fillId="0" borderId="0" xfId="0" applyFont="1" applyFill="1" applyBorder="1" applyAlignment="1">
      <alignment horizontal="center"/>
    </xf>
    <xf numFmtId="0" fontId="7" fillId="0" borderId="0" xfId="0" applyFont="1" applyFill="1" applyAlignment="1">
      <alignment horizontal="center"/>
    </xf>
    <xf numFmtId="0" fontId="2" fillId="0" borderId="7" xfId="0" applyFont="1" applyFill="1" applyBorder="1" applyAlignment="1">
      <alignment horizontal="center"/>
    </xf>
    <xf numFmtId="0" fontId="2" fillId="0" borderId="3" xfId="0" applyFont="1" applyFill="1" applyBorder="1" applyAlignment="1">
      <alignment horizontal="center"/>
    </xf>
    <xf numFmtId="0" fontId="2" fillId="0" borderId="8" xfId="0" applyFont="1" applyFill="1" applyBorder="1" applyAlignment="1">
      <alignment horizontal="center"/>
    </xf>
    <xf numFmtId="0" fontId="0" fillId="0" borderId="0" xfId="0" applyBorder="1" applyAlignment="1">
      <alignment horizontal="center"/>
    </xf>
    <xf numFmtId="0" fontId="0" fillId="0" borderId="9" xfId="0" applyBorder="1" applyAlignment="1">
      <alignment horizontal="center"/>
    </xf>
    <xf numFmtId="0" fontId="0" fillId="0" borderId="0" xfId="0" applyFill="1"/>
    <xf numFmtId="166" fontId="2" fillId="0" borderId="0" xfId="0" applyNumberFormat="1" applyFont="1" applyFill="1" applyAlignment="1">
      <alignment horizontal="center"/>
    </xf>
    <xf numFmtId="0" fontId="0" fillId="0" borderId="8" xfId="0" applyBorder="1"/>
    <xf numFmtId="0" fontId="0" fillId="0" borderId="0" xfId="0" applyFill="1" applyAlignment="1">
      <alignment horizontal="center"/>
    </xf>
    <xf numFmtId="0" fontId="2" fillId="0" borderId="10" xfId="0" applyFont="1" applyFill="1" applyBorder="1" applyAlignment="1">
      <alignment horizontal="center"/>
    </xf>
    <xf numFmtId="0" fontId="2" fillId="0" borderId="9" xfId="0" applyFont="1" applyFill="1" applyBorder="1" applyAlignment="1">
      <alignment horizontal="center"/>
    </xf>
    <xf numFmtId="0" fontId="0" fillId="0" borderId="10" xfId="0" applyFill="1" applyBorder="1" applyAlignment="1">
      <alignment horizontal="center"/>
    </xf>
    <xf numFmtId="0" fontId="0" fillId="0" borderId="5" xfId="0" applyFill="1" applyBorder="1" applyAlignment="1">
      <alignment horizontal="center"/>
    </xf>
    <xf numFmtId="0" fontId="0" fillId="0" borderId="2" xfId="0" applyFill="1" applyBorder="1" applyAlignment="1">
      <alignment horizontal="center"/>
    </xf>
    <xf numFmtId="0" fontId="0" fillId="0" borderId="6" xfId="0" applyFill="1" applyBorder="1" applyAlignment="1">
      <alignment horizontal="center"/>
    </xf>
    <xf numFmtId="0" fontId="1" fillId="0" borderId="8" xfId="0" applyFont="1" applyFill="1" applyBorder="1" applyAlignment="1">
      <alignment horizontal="center"/>
    </xf>
    <xf numFmtId="0" fontId="0" fillId="0" borderId="7" xfId="0" applyFill="1" applyBorder="1" applyAlignment="1">
      <alignment horizontal="center"/>
    </xf>
    <xf numFmtId="0" fontId="0" fillId="0" borderId="3" xfId="0" applyFill="1" applyBorder="1" applyAlignment="1">
      <alignment horizontal="center"/>
    </xf>
    <xf numFmtId="0" fontId="0" fillId="0" borderId="10" xfId="0" applyFont="1" applyFill="1" applyBorder="1" applyAlignment="1">
      <alignment horizontal="left"/>
    </xf>
    <xf numFmtId="0" fontId="0" fillId="0" borderId="6" xfId="0" applyFont="1" applyFill="1" applyBorder="1" applyAlignment="1">
      <alignment horizontal="left"/>
    </xf>
    <xf numFmtId="0" fontId="0" fillId="0" borderId="8" xfId="0" applyBorder="1" applyAlignment="1">
      <alignment horizontal="center"/>
    </xf>
    <xf numFmtId="0" fontId="0" fillId="0" borderId="7" xfId="0" applyBorder="1" applyAlignment="1">
      <alignment horizontal="center"/>
    </xf>
    <xf numFmtId="0" fontId="7" fillId="0" borderId="4" xfId="0" applyFont="1" applyFill="1" applyBorder="1" applyAlignment="1">
      <alignment horizontal="center"/>
    </xf>
    <xf numFmtId="0" fontId="7" fillId="0" borderId="0" xfId="0" applyFont="1" applyFill="1" applyBorder="1" applyAlignment="1">
      <alignment horizontal="center"/>
    </xf>
    <xf numFmtId="0" fontId="7" fillId="0" borderId="9" xfId="0" applyFont="1" applyFill="1" applyBorder="1" applyAlignment="1">
      <alignment horizontal="center"/>
    </xf>
    <xf numFmtId="0" fontId="8" fillId="0" borderId="6" xfId="0" applyFont="1" applyFill="1" applyBorder="1" applyAlignment="1">
      <alignment horizontal="left"/>
    </xf>
    <xf numFmtId="0" fontId="7" fillId="0" borderId="3" xfId="0" applyFont="1" applyFill="1" applyBorder="1" applyAlignment="1">
      <alignment horizontal="center"/>
    </xf>
    <xf numFmtId="0" fontId="1" fillId="0" borderId="5" xfId="0" applyFont="1" applyFill="1" applyBorder="1" applyAlignment="1">
      <alignment horizontal="left"/>
    </xf>
    <xf numFmtId="0" fontId="0" fillId="0" borderId="0" xfId="0" applyFont="1" applyFill="1" applyAlignment="1">
      <alignment horizontal="center"/>
    </xf>
    <xf numFmtId="0" fontId="0" fillId="0" borderId="0" xfId="0" applyFont="1" applyFill="1" applyBorder="1" applyAlignment="1">
      <alignment horizontal="center"/>
    </xf>
    <xf numFmtId="166" fontId="0" fillId="0" borderId="0" xfId="0" applyNumberFormat="1" applyFont="1" applyFill="1" applyBorder="1" applyAlignment="1">
      <alignment horizontal="center"/>
    </xf>
    <xf numFmtId="166" fontId="0" fillId="0" borderId="0" xfId="0" applyNumberFormat="1" applyFont="1" applyAlignment="1">
      <alignment horizontal="center"/>
    </xf>
    <xf numFmtId="2" fontId="0" fillId="0" borderId="0" xfId="0" applyNumberFormat="1" applyAlignment="1">
      <alignment horizontal="center"/>
    </xf>
    <xf numFmtId="0" fontId="5" fillId="0" borderId="0" xfId="0" applyFont="1" applyFill="1" applyAlignment="1"/>
    <xf numFmtId="0" fontId="2" fillId="0" borderId="0" xfId="0" applyFont="1" applyFill="1" applyAlignment="1"/>
    <xf numFmtId="0" fontId="2" fillId="0" borderId="14" xfId="0" applyFont="1" applyFill="1" applyBorder="1" applyAlignment="1">
      <alignment horizontal="center"/>
    </xf>
    <xf numFmtId="0" fontId="2" fillId="0" borderId="15" xfId="0" applyFont="1" applyFill="1" applyBorder="1" applyAlignment="1">
      <alignment horizontal="center"/>
    </xf>
    <xf numFmtId="0" fontId="4" fillId="0" borderId="0" xfId="0" applyFont="1" applyAlignment="1"/>
    <xf numFmtId="0" fontId="5" fillId="0" borderId="0" xfId="0" applyFont="1" applyAlignment="1"/>
    <xf numFmtId="0" fontId="6" fillId="0" borderId="0" xfId="0" applyFont="1" applyAlignment="1"/>
    <xf numFmtId="166" fontId="0" fillId="0" borderId="0" xfId="0" applyNumberFormat="1" applyFont="1" applyFill="1" applyAlignment="1">
      <alignment horizontal="center"/>
    </xf>
    <xf numFmtId="0" fontId="15" fillId="0" borderId="0" xfId="0" applyFont="1"/>
    <xf numFmtId="0" fontId="9" fillId="0" borderId="6" xfId="0" applyFont="1" applyBorder="1"/>
    <xf numFmtId="0" fontId="16" fillId="0" borderId="8" xfId="0" applyFont="1" applyBorder="1"/>
    <xf numFmtId="0" fontId="16" fillId="0" borderId="7" xfId="0" applyFont="1" applyBorder="1"/>
    <xf numFmtId="0" fontId="16" fillId="0" borderId="5" xfId="0" applyFont="1" applyBorder="1"/>
    <xf numFmtId="0" fontId="9" fillId="0" borderId="16" xfId="0" applyFont="1" applyBorder="1"/>
    <xf numFmtId="0" fontId="16" fillId="0" borderId="3" xfId="0" applyFont="1" applyBorder="1"/>
    <xf numFmtId="0" fontId="16" fillId="0" borderId="0" xfId="0" applyFont="1" applyBorder="1"/>
    <xf numFmtId="0" fontId="8" fillId="0" borderId="0" xfId="0" applyFont="1"/>
    <xf numFmtId="0" fontId="9" fillId="0" borderId="5" xfId="0" applyFont="1" applyBorder="1"/>
    <xf numFmtId="0" fontId="9" fillId="0" borderId="0" xfId="0" applyFont="1"/>
    <xf numFmtId="0" fontId="0" fillId="7" borderId="4" xfId="0" applyFill="1" applyBorder="1" applyAlignment="1">
      <alignment horizontal="center"/>
    </xf>
    <xf numFmtId="0" fontId="0" fillId="0" borderId="0" xfId="0" applyFont="1" applyFill="1" applyBorder="1" applyAlignment="1">
      <alignment horizontal="left"/>
    </xf>
    <xf numFmtId="166" fontId="2" fillId="0" borderId="0" xfId="0" applyNumberFormat="1" applyFont="1" applyFill="1" applyBorder="1" applyAlignment="1">
      <alignment horizontal="center"/>
    </xf>
    <xf numFmtId="0" fontId="17" fillId="0" borderId="0" xfId="0" applyFont="1" applyFill="1" applyBorder="1" applyAlignment="1">
      <alignment horizontal="center"/>
    </xf>
    <xf numFmtId="0" fontId="17" fillId="2" borderId="4" xfId="0" applyFont="1" applyFill="1" applyBorder="1" applyAlignment="1">
      <alignment horizontal="center"/>
    </xf>
    <xf numFmtId="2" fontId="17" fillId="6" borderId="2" xfId="0" applyNumberFormat="1" applyFont="1" applyFill="1" applyBorder="1" applyAlignment="1">
      <alignment horizontal="center"/>
    </xf>
    <xf numFmtId="0" fontId="18" fillId="0" borderId="0" xfId="0" applyFont="1"/>
    <xf numFmtId="0" fontId="17" fillId="5" borderId="4" xfId="0" applyFont="1" applyFill="1" applyBorder="1" applyAlignment="1">
      <alignment horizontal="center"/>
    </xf>
    <xf numFmtId="0" fontId="19" fillId="6" borderId="4" xfId="0" applyFont="1" applyFill="1" applyBorder="1" applyAlignment="1">
      <alignment horizontal="center"/>
    </xf>
    <xf numFmtId="0" fontId="19" fillId="0" borderId="0" xfId="0" applyFont="1" applyFill="1" applyBorder="1" applyAlignment="1">
      <alignment horizontal="center"/>
    </xf>
    <xf numFmtId="0" fontId="20" fillId="4" borderId="4" xfId="0" applyFont="1" applyFill="1" applyBorder="1" applyAlignment="1">
      <alignment horizontal="center"/>
    </xf>
    <xf numFmtId="0" fontId="20" fillId="4" borderId="0" xfId="0" applyFont="1" applyFill="1" applyBorder="1" applyAlignment="1">
      <alignment horizontal="center"/>
    </xf>
    <xf numFmtId="0" fontId="20" fillId="0" borderId="0" xfId="0" applyFont="1" applyFill="1" applyBorder="1" applyAlignment="1">
      <alignment horizontal="center"/>
    </xf>
    <xf numFmtId="0" fontId="18" fillId="3" borderId="2" xfId="0" applyFont="1" applyFill="1" applyBorder="1" applyAlignment="1">
      <alignment horizontal="center"/>
    </xf>
    <xf numFmtId="0" fontId="18" fillId="3" borderId="0" xfId="0" applyFont="1" applyFill="1" applyAlignment="1">
      <alignment horizontal="center"/>
    </xf>
    <xf numFmtId="0" fontId="18" fillId="3" borderId="0" xfId="0" applyFont="1" applyFill="1" applyBorder="1" applyAlignment="1">
      <alignment horizontal="center"/>
    </xf>
    <xf numFmtId="0" fontId="18" fillId="0" borderId="0" xfId="0" applyFont="1" applyFill="1" applyAlignment="1">
      <alignment horizontal="center"/>
    </xf>
    <xf numFmtId="165" fontId="18" fillId="3" borderId="2" xfId="0" applyNumberFormat="1" applyFont="1" applyFill="1" applyBorder="1" applyAlignment="1">
      <alignment horizontal="center" wrapText="1"/>
    </xf>
    <xf numFmtId="0" fontId="18" fillId="0" borderId="0" xfId="0" applyFont="1" applyFill="1" applyBorder="1"/>
    <xf numFmtId="0" fontId="18" fillId="0" borderId="0" xfId="0" applyFont="1" applyFill="1"/>
    <xf numFmtId="2" fontId="18" fillId="0" borderId="0" xfId="0" applyNumberFormat="1" applyFont="1" applyFill="1"/>
    <xf numFmtId="165" fontId="18" fillId="0" borderId="0" xfId="0" applyNumberFormat="1" applyFont="1" applyFill="1"/>
    <xf numFmtId="11" fontId="18" fillId="0" borderId="0" xfId="0" applyNumberFormat="1" applyFont="1" applyFill="1" applyAlignment="1">
      <alignment horizontal="center"/>
    </xf>
    <xf numFmtId="165" fontId="18" fillId="0" borderId="0" xfId="0" applyNumberFormat="1" applyFont="1" applyFill="1" applyAlignment="1">
      <alignment horizontal="center" wrapText="1"/>
    </xf>
    <xf numFmtId="165" fontId="18" fillId="0" borderId="2" xfId="0" applyNumberFormat="1" applyFont="1" applyFill="1" applyBorder="1" applyAlignment="1">
      <alignment horizontal="center" wrapText="1"/>
    </xf>
    <xf numFmtId="1" fontId="18" fillId="0" borderId="0" xfId="0" applyNumberFormat="1" applyFont="1" applyFill="1" applyAlignment="1">
      <alignment horizontal="center" wrapText="1"/>
    </xf>
    <xf numFmtId="0" fontId="20" fillId="0" borderId="0" xfId="0" applyFont="1" applyAlignment="1"/>
    <xf numFmtId="0" fontId="20" fillId="0" borderId="0" xfId="0" applyFont="1" applyFill="1" applyAlignment="1"/>
    <xf numFmtId="0" fontId="20" fillId="0" borderId="13" xfId="0" applyFont="1" applyFill="1" applyBorder="1" applyAlignment="1">
      <alignment horizontal="center"/>
    </xf>
    <xf numFmtId="0" fontId="20" fillId="0" borderId="15" xfId="0" applyFont="1" applyFill="1" applyBorder="1" applyAlignment="1">
      <alignment horizontal="center"/>
    </xf>
    <xf numFmtId="0" fontId="20" fillId="0" borderId="0" xfId="0" applyFont="1" applyFill="1" applyAlignment="1">
      <alignment horizontal="center"/>
    </xf>
    <xf numFmtId="0" fontId="17" fillId="2" borderId="0" xfId="0" applyFont="1" applyFill="1" applyAlignment="1">
      <alignment horizontal="left"/>
    </xf>
    <xf numFmtId="0" fontId="20" fillId="2" borderId="0" xfId="0" applyFont="1" applyFill="1" applyAlignment="1">
      <alignment horizontal="center"/>
    </xf>
    <xf numFmtId="2" fontId="22" fillId="6" borderId="0" xfId="0" applyNumberFormat="1" applyFont="1" applyFill="1" applyAlignment="1">
      <alignment horizontal="center"/>
    </xf>
    <xf numFmtId="0" fontId="18" fillId="5" borderId="2" xfId="0" applyFont="1" applyFill="1" applyBorder="1" applyAlignment="1">
      <alignment horizontal="left"/>
    </xf>
    <xf numFmtId="0" fontId="18" fillId="6" borderId="2" xfId="0" applyFont="1" applyFill="1" applyBorder="1" applyAlignment="1">
      <alignment horizontal="left"/>
    </xf>
    <xf numFmtId="0" fontId="18" fillId="6" borderId="2" xfId="0" applyFont="1" applyFill="1" applyBorder="1" applyAlignment="1">
      <alignment horizontal="center"/>
    </xf>
    <xf numFmtId="0" fontId="18" fillId="0" borderId="0" xfId="0" applyFont="1" applyFill="1" applyBorder="1" applyAlignment="1">
      <alignment horizontal="center"/>
    </xf>
    <xf numFmtId="0" fontId="18" fillId="4" borderId="12" xfId="0" applyFont="1" applyFill="1" applyBorder="1" applyAlignment="1">
      <alignment horizontal="left"/>
    </xf>
    <xf numFmtId="0" fontId="18" fillId="4" borderId="12" xfId="0" applyFont="1" applyFill="1" applyBorder="1" applyAlignment="1">
      <alignment horizontal="center"/>
    </xf>
    <xf numFmtId="0" fontId="18" fillId="4" borderId="1" xfId="0" applyFont="1" applyFill="1" applyBorder="1" applyAlignment="1">
      <alignment horizontal="center"/>
    </xf>
    <xf numFmtId="0" fontId="18" fillId="4" borderId="2" xfId="0" applyFont="1" applyFill="1" applyBorder="1" applyAlignment="1">
      <alignment horizontal="left"/>
    </xf>
    <xf numFmtId="0" fontId="18" fillId="4" borderId="2" xfId="0" applyFont="1" applyFill="1" applyBorder="1" applyAlignment="1">
      <alignment horizontal="center"/>
    </xf>
    <xf numFmtId="0" fontId="18" fillId="4" borderId="0" xfId="0" applyFont="1" applyFill="1" applyBorder="1" applyAlignment="1">
      <alignment horizontal="center"/>
    </xf>
    <xf numFmtId="0" fontId="18" fillId="3" borderId="0" xfId="0" applyFont="1" applyFill="1" applyBorder="1"/>
    <xf numFmtId="0" fontId="18" fillId="3" borderId="0" xfId="0" applyFont="1" applyFill="1"/>
    <xf numFmtId="0" fontId="18" fillId="0" borderId="10" xfId="0" applyFont="1" applyFill="1" applyBorder="1"/>
    <xf numFmtId="0" fontId="18" fillId="0" borderId="9" xfId="0" applyFont="1" applyFill="1" applyBorder="1"/>
    <xf numFmtId="0" fontId="18" fillId="0" borderId="6" xfId="0" applyFont="1" applyFill="1" applyBorder="1"/>
    <xf numFmtId="0" fontId="18" fillId="0" borderId="8" xfId="0" applyFont="1" applyFill="1" applyBorder="1"/>
    <xf numFmtId="0" fontId="18" fillId="0" borderId="7" xfId="0" applyFont="1" applyFill="1" applyBorder="1"/>
    <xf numFmtId="0" fontId="18" fillId="0" borderId="1" xfId="0" applyFont="1" applyFill="1" applyBorder="1" applyAlignment="1">
      <alignment horizontal="center"/>
    </xf>
    <xf numFmtId="0" fontId="23" fillId="0" borderId="0" xfId="0" applyFont="1" applyAlignment="1"/>
    <xf numFmtId="0" fontId="23" fillId="0" borderId="0" xfId="0" applyFont="1" applyFill="1" applyAlignment="1"/>
    <xf numFmtId="0" fontId="23" fillId="0" borderId="0" xfId="0" applyFont="1" applyFill="1" applyAlignment="1">
      <alignment horizontal="center"/>
    </xf>
    <xf numFmtId="0" fontId="18" fillId="0" borderId="4" xfId="0" applyFont="1" applyBorder="1" applyAlignment="1">
      <alignment horizontal="left"/>
    </xf>
    <xf numFmtId="0" fontId="18" fillId="0" borderId="4" xfId="0" applyFont="1" applyBorder="1" applyAlignment="1">
      <alignment horizontal="center"/>
    </xf>
    <xf numFmtId="0" fontId="18" fillId="0" borderId="0" xfId="0" applyFont="1" applyFill="1" applyAlignment="1">
      <alignment horizontal="left"/>
    </xf>
    <xf numFmtId="2" fontId="18" fillId="0" borderId="0" xfId="0" applyNumberFormat="1" applyFont="1" applyFill="1" applyAlignment="1">
      <alignment horizontal="center"/>
    </xf>
    <xf numFmtId="0" fontId="22" fillId="0" borderId="1" xfId="0" applyFont="1" applyFill="1" applyBorder="1" applyAlignment="1">
      <alignment horizontal="left"/>
    </xf>
    <xf numFmtId="0" fontId="22" fillId="0" borderId="1" xfId="0" applyFont="1" applyBorder="1" applyAlignment="1">
      <alignment horizontal="left"/>
    </xf>
    <xf numFmtId="0" fontId="18" fillId="0" borderId="1" xfId="0" applyFont="1" applyFill="1" applyBorder="1"/>
    <xf numFmtId="0" fontId="18" fillId="3" borderId="0" xfId="0" applyFont="1" applyFill="1" applyAlignment="1">
      <alignment horizontal="left"/>
    </xf>
    <xf numFmtId="0" fontId="18" fillId="3" borderId="1" xfId="0" applyFont="1" applyFill="1" applyBorder="1" applyAlignment="1">
      <alignment horizontal="center"/>
    </xf>
    <xf numFmtId="0" fontId="18" fillId="3" borderId="1" xfId="0" applyFont="1" applyFill="1" applyBorder="1" applyAlignment="1">
      <alignment horizontal="left"/>
    </xf>
    <xf numFmtId="0" fontId="18" fillId="3" borderId="1" xfId="0" applyFont="1" applyFill="1" applyBorder="1"/>
    <xf numFmtId="0" fontId="18" fillId="0" borderId="8" xfId="0" applyFont="1" applyBorder="1"/>
    <xf numFmtId="0" fontId="10" fillId="0" borderId="0" xfId="0" applyFont="1" applyAlignment="1">
      <alignment horizontal="center"/>
    </xf>
    <xf numFmtId="0" fontId="10" fillId="0" borderId="0" xfId="0" applyFont="1" applyFill="1" applyAlignment="1">
      <alignment horizontal="center"/>
    </xf>
    <xf numFmtId="2" fontId="10" fillId="0" borderId="0" xfId="0" applyNumberFormat="1" applyFont="1" applyFill="1" applyAlignment="1">
      <alignment horizontal="center"/>
    </xf>
    <xf numFmtId="0" fontId="10" fillId="0" borderId="0" xfId="0" applyFont="1"/>
    <xf numFmtId="0" fontId="10" fillId="0" borderId="0" xfId="0" applyFont="1" applyFill="1"/>
    <xf numFmtId="0" fontId="24" fillId="0" borderId="18" xfId="0" applyFont="1" applyFill="1" applyBorder="1" applyAlignment="1">
      <alignment horizontal="left"/>
    </xf>
    <xf numFmtId="166" fontId="10" fillId="0" borderId="12" xfId="0" applyNumberFormat="1" applyFont="1" applyBorder="1" applyAlignment="1">
      <alignment horizontal="center"/>
    </xf>
    <xf numFmtId="0" fontId="10" fillId="0" borderId="19" xfId="0" applyFont="1" applyFill="1" applyBorder="1" applyAlignment="1">
      <alignment horizontal="center"/>
    </xf>
    <xf numFmtId="0" fontId="10" fillId="0" borderId="0" xfId="0" applyFont="1" applyFill="1" applyBorder="1" applyAlignment="1">
      <alignment horizontal="center"/>
    </xf>
    <xf numFmtId="0" fontId="25" fillId="0" borderId="17" xfId="0" applyFont="1" applyFill="1" applyBorder="1" applyAlignment="1">
      <alignment horizontal="left"/>
    </xf>
    <xf numFmtId="0" fontId="10" fillId="0" borderId="17" xfId="0" applyFont="1" applyFill="1" applyBorder="1" applyAlignment="1">
      <alignment horizontal="center"/>
    </xf>
    <xf numFmtId="0" fontId="25" fillId="0" borderId="0" xfId="0" applyFont="1" applyFill="1" applyBorder="1" applyAlignment="1">
      <alignment horizontal="left"/>
    </xf>
    <xf numFmtId="0" fontId="25" fillId="0" borderId="0" xfId="0" applyFont="1" applyFill="1" applyAlignment="1">
      <alignment horizontal="left"/>
    </xf>
    <xf numFmtId="0" fontId="10" fillId="0" borderId="0" xfId="0" applyFont="1" applyFill="1" applyAlignment="1">
      <alignment horizontal="left"/>
    </xf>
    <xf numFmtId="0" fontId="24" fillId="0" borderId="0" xfId="0" applyFont="1" applyFill="1" applyBorder="1" applyAlignment="1">
      <alignment horizontal="left"/>
    </xf>
    <xf numFmtId="0" fontId="24" fillId="0" borderId="12" xfId="0" applyFont="1" applyFill="1" applyBorder="1" applyAlignment="1">
      <alignment horizontal="left"/>
    </xf>
    <xf numFmtId="0" fontId="24" fillId="0" borderId="19" xfId="0" applyFont="1" applyFill="1" applyBorder="1" applyAlignment="1">
      <alignment horizontal="left"/>
    </xf>
    <xf numFmtId="0" fontId="23" fillId="0" borderId="12" xfId="0" applyFont="1" applyFill="1" applyBorder="1" applyAlignment="1">
      <alignment horizontal="center"/>
    </xf>
    <xf numFmtId="0" fontId="10" fillId="0" borderId="12" xfId="0" applyFont="1" applyFill="1" applyBorder="1" applyAlignment="1">
      <alignment horizontal="center"/>
    </xf>
    <xf numFmtId="0" fontId="10" fillId="0" borderId="20" xfId="0" applyFont="1" applyFill="1" applyBorder="1" applyAlignment="1">
      <alignment horizontal="center"/>
    </xf>
    <xf numFmtId="0" fontId="18" fillId="0" borderId="4" xfId="0" applyFont="1" applyFill="1" applyBorder="1" applyAlignment="1">
      <alignment horizontal="center"/>
    </xf>
    <xf numFmtId="0" fontId="22" fillId="0" borderId="5" xfId="0" applyFont="1" applyFill="1" applyBorder="1" applyAlignment="1"/>
    <xf numFmtId="0" fontId="22" fillId="0" borderId="4" xfId="0" applyFont="1" applyFill="1" applyBorder="1" applyAlignment="1">
      <alignment horizontal="center"/>
    </xf>
    <xf numFmtId="0" fontId="22" fillId="0" borderId="4" xfId="0" applyFont="1" applyBorder="1" applyAlignment="1">
      <alignment horizontal="center"/>
    </xf>
    <xf numFmtId="0" fontId="22" fillId="0" borderId="3" xfId="0" applyFont="1" applyBorder="1" applyAlignment="1">
      <alignment horizontal="center"/>
    </xf>
    <xf numFmtId="0" fontId="18" fillId="0" borderId="6" xfId="0" applyFont="1" applyFill="1" applyBorder="1" applyAlignment="1">
      <alignment horizontal="left"/>
    </xf>
    <xf numFmtId="0" fontId="25" fillId="0" borderId="13" xfId="0" applyFont="1" applyFill="1" applyBorder="1" applyAlignment="1">
      <alignment horizontal="left"/>
    </xf>
    <xf numFmtId="0" fontId="26" fillId="0" borderId="0" xfId="0" applyFont="1" applyFill="1" applyBorder="1" applyAlignment="1">
      <alignment horizontal="center"/>
    </xf>
    <xf numFmtId="0" fontId="26" fillId="0" borderId="12" xfId="0" applyFont="1" applyFill="1" applyBorder="1" applyAlignment="1">
      <alignment horizontal="center"/>
    </xf>
    <xf numFmtId="0" fontId="26" fillId="0" borderId="19" xfId="0" applyFont="1" applyFill="1" applyBorder="1" applyAlignment="1">
      <alignment horizontal="center"/>
    </xf>
    <xf numFmtId="0" fontId="25" fillId="0" borderId="2" xfId="0" applyFont="1" applyFill="1" applyBorder="1" applyAlignment="1">
      <alignment horizontal="left"/>
    </xf>
    <xf numFmtId="0" fontId="22" fillId="0" borderId="0" xfId="0" applyFont="1" applyFill="1" applyAlignment="1">
      <alignment horizontal="left"/>
    </xf>
    <xf numFmtId="0" fontId="26" fillId="0" borderId="18" xfId="0" applyFont="1" applyFill="1" applyBorder="1" applyAlignment="1">
      <alignment horizontal="center"/>
    </xf>
    <xf numFmtId="0" fontId="25" fillId="0" borderId="0" xfId="0" applyFont="1" applyFill="1"/>
    <xf numFmtId="0" fontId="22" fillId="3" borderId="0" xfId="0" applyFont="1" applyFill="1" applyAlignment="1">
      <alignment horizontal="left"/>
    </xf>
    <xf numFmtId="0" fontId="18" fillId="0" borderId="0" xfId="0" applyFont="1" applyFill="1" applyBorder="1" applyAlignment="1"/>
    <xf numFmtId="0" fontId="18" fillId="0" borderId="0" xfId="0" applyFont="1" applyAlignment="1">
      <alignment horizontal="center"/>
    </xf>
    <xf numFmtId="0" fontId="18" fillId="0" borderId="5" xfId="0" applyFont="1" applyFill="1" applyBorder="1" applyAlignment="1">
      <alignment horizontal="center"/>
    </xf>
    <xf numFmtId="0" fontId="18" fillId="0" borderId="3" xfId="0" applyFont="1" applyFill="1" applyBorder="1" applyAlignment="1">
      <alignment horizontal="center"/>
    </xf>
    <xf numFmtId="0" fontId="22" fillId="0" borderId="5" xfId="0" applyFont="1" applyFill="1" applyBorder="1" applyAlignment="1">
      <alignment horizontal="center"/>
    </xf>
    <xf numFmtId="164" fontId="18" fillId="0" borderId="11" xfId="0" applyNumberFormat="1" applyFont="1" applyFill="1" applyBorder="1" applyAlignment="1">
      <alignment horizontal="center"/>
    </xf>
    <xf numFmtId="165" fontId="18" fillId="0" borderId="0" xfId="0" applyNumberFormat="1" applyFont="1" applyFill="1" applyAlignment="1">
      <alignment horizontal="center"/>
    </xf>
    <xf numFmtId="0" fontId="18" fillId="0" borderId="0" xfId="0" applyFont="1" applyFill="1" applyAlignment="1">
      <alignment horizontal="center" wrapText="1"/>
    </xf>
    <xf numFmtId="0" fontId="18" fillId="0" borderId="0" xfId="0" applyFont="1" applyFill="1" applyAlignment="1">
      <alignment horizontal="center" textRotation="90" wrapText="1"/>
    </xf>
    <xf numFmtId="0" fontId="24" fillId="0" borderId="16" xfId="0" applyFont="1" applyFill="1" applyBorder="1"/>
    <xf numFmtId="0" fontId="2" fillId="0" borderId="19" xfId="0" applyFont="1" applyFill="1" applyBorder="1"/>
    <xf numFmtId="0" fontId="10" fillId="0" borderId="0" xfId="0" applyFont="1" applyFill="1" applyBorder="1" applyAlignment="1"/>
    <xf numFmtId="166" fontId="18" fillId="0" borderId="0" xfId="0" applyNumberFormat="1" applyFont="1" applyFill="1" applyBorder="1" applyAlignment="1">
      <alignment horizontal="center"/>
    </xf>
    <xf numFmtId="0" fontId="18" fillId="2" borderId="0" xfId="0" applyFont="1" applyFill="1" applyBorder="1" applyAlignment="1">
      <alignment horizontal="center"/>
    </xf>
    <xf numFmtId="2" fontId="18" fillId="6" borderId="0" xfId="0" applyNumberFormat="1" applyFont="1" applyFill="1" applyBorder="1" applyAlignment="1">
      <alignment horizontal="center"/>
    </xf>
    <xf numFmtId="166" fontId="18" fillId="5" borderId="0" xfId="0" applyNumberFormat="1" applyFont="1" applyFill="1" applyAlignment="1">
      <alignment horizontal="center"/>
    </xf>
    <xf numFmtId="166" fontId="18" fillId="6" borderId="0" xfId="0" applyNumberFormat="1" applyFont="1" applyFill="1" applyAlignment="1">
      <alignment horizontal="center"/>
    </xf>
    <xf numFmtId="166" fontId="18" fillId="4" borderId="0" xfId="0" applyNumberFormat="1" applyFont="1" applyFill="1" applyAlignment="1">
      <alignment horizontal="center"/>
    </xf>
    <xf numFmtId="166" fontId="18" fillId="0" borderId="0" xfId="0" applyNumberFormat="1" applyFont="1" applyFill="1" applyAlignment="1">
      <alignment horizontal="center"/>
    </xf>
    <xf numFmtId="166" fontId="18" fillId="3" borderId="0" xfId="0" applyNumberFormat="1" applyFont="1" applyFill="1" applyAlignment="1">
      <alignment horizontal="center"/>
    </xf>
    <xf numFmtId="2" fontId="18" fillId="3" borderId="0" xfId="0" applyNumberFormat="1" applyFont="1" applyFill="1" applyAlignment="1">
      <alignment horizontal="center"/>
    </xf>
    <xf numFmtId="165" fontId="18" fillId="3" borderId="0" xfId="0" applyNumberFormat="1" applyFont="1" applyFill="1" applyAlignment="1">
      <alignment horizontal="center"/>
    </xf>
    <xf numFmtId="164" fontId="18" fillId="0" borderId="0" xfId="0" applyNumberFormat="1" applyFont="1" applyFill="1"/>
    <xf numFmtId="166" fontId="18" fillId="0" borderId="0" xfId="0" applyNumberFormat="1" applyFont="1" applyFill="1"/>
    <xf numFmtId="11" fontId="18" fillId="0" borderId="0" xfId="0" applyNumberFormat="1" applyFont="1" applyFill="1"/>
    <xf numFmtId="1" fontId="18" fillId="0" borderId="0" xfId="0" applyNumberFormat="1" applyFont="1" applyFill="1"/>
    <xf numFmtId="0" fontId="18" fillId="3" borderId="0" xfId="0" applyFont="1" applyFill="1" applyBorder="1" applyAlignment="1">
      <alignment horizontal="center"/>
    </xf>
  </cellXfs>
  <cellStyles count="45">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Normal" xfId="0" builtinId="0"/>
    <cellStyle name="Normal 2" xfId="1"/>
    <cellStyle name="Normal 3" xfId="2"/>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chartsheet" Target="chartsheets/sheet1.xml"/><Relationship Id="rId4" Type="http://schemas.openxmlformats.org/officeDocument/2006/relationships/chartsheet" Target="chartsheets/sheet2.xml"/><Relationship Id="rId5" Type="http://schemas.openxmlformats.org/officeDocument/2006/relationships/chartsheet" Target="chartsheets/sheet3.xml"/><Relationship Id="rId6" Type="http://schemas.openxmlformats.org/officeDocument/2006/relationships/worksheet" Target="worksheets/sheet3.xml"/><Relationship Id="rId7" Type="http://schemas.openxmlformats.org/officeDocument/2006/relationships/theme" Target="theme/theme1.xml"/><Relationship Id="rId8" Type="http://schemas.openxmlformats.org/officeDocument/2006/relationships/styles" Target="styles.xml"/><Relationship Id="rId9" Type="http://schemas.openxmlformats.org/officeDocument/2006/relationships/sharedStrings" Target="sharedStrings.xml"/><Relationship Id="rId10"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charts/chart1.xml><?xml version="1.0" encoding="utf-8"?>
<c:chartSpace xmlns:c="http://schemas.openxmlformats.org/drawingml/2006/chart" xmlns:a="http://schemas.openxmlformats.org/drawingml/2006/main" xmlns:r="http://schemas.openxmlformats.org/officeDocument/2006/relationships">
  <c:date1904 val="1"/>
  <c:lang val="en-US"/>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1"/>
    <c:plotArea>
      <c:layout>
        <c:manualLayout>
          <c:layoutTarget val="inner"/>
          <c:xMode val="edge"/>
          <c:yMode val="edge"/>
          <c:x val="0.144229139313425"/>
          <c:y val="0.139324802660336"/>
          <c:w val="0.749417610579377"/>
          <c:h val="0.812782296425174"/>
        </c:manualLayout>
      </c:layout>
      <c:scatterChart>
        <c:scatterStyle val="lineMarker"/>
        <c:varyColors val="0"/>
        <c:ser>
          <c:idx val="4"/>
          <c:order val="0"/>
          <c:tx>
            <c:v>Sisson et al.</c:v>
          </c:tx>
          <c:spPr>
            <a:ln w="47625">
              <a:noFill/>
            </a:ln>
          </c:spPr>
          <c:marker>
            <c:symbol val="circle"/>
            <c:size val="16"/>
            <c:spPr>
              <a:solidFill>
                <a:schemeClr val="bg1">
                  <a:lumMod val="50000"/>
                </a:schemeClr>
              </a:solidFill>
              <a:ln>
                <a:solidFill>
                  <a:schemeClr val="tx1"/>
                </a:solidFill>
              </a:ln>
            </c:spPr>
          </c:marker>
          <c:xVal>
            <c:numRef>
              <c:f>'Cpx Input &amp; Models'!$AF$15:$AF$18</c:f>
              <c:numCache>
                <c:formatCode>0.0</c:formatCode>
                <c:ptCount val="4"/>
                <c:pt idx="0">
                  <c:v>1016.090858942903</c:v>
                </c:pt>
                <c:pt idx="1">
                  <c:v>981.6112833982253</c:v>
                </c:pt>
                <c:pt idx="2">
                  <c:v>1014.17074900032</c:v>
                </c:pt>
                <c:pt idx="3">
                  <c:v>973.7455150515081</c:v>
                </c:pt>
              </c:numCache>
            </c:numRef>
          </c:xVal>
          <c:yVal>
            <c:numRef>
              <c:f>'Cpx Input &amp; Models'!$AG$15:$AG$18</c:f>
              <c:numCache>
                <c:formatCode>0.0</c:formatCode>
                <c:ptCount val="4"/>
                <c:pt idx="0">
                  <c:v>1.583730815362111</c:v>
                </c:pt>
                <c:pt idx="1">
                  <c:v>0.895597395793069</c:v>
                </c:pt>
                <c:pt idx="2">
                  <c:v>0.952708042087774</c:v>
                </c:pt>
                <c:pt idx="3">
                  <c:v>3.581569104087285</c:v>
                </c:pt>
              </c:numCache>
            </c:numRef>
          </c:yVal>
          <c:smooth val="0"/>
          <c:extLst xmlns:c16r2="http://schemas.microsoft.com/office/drawing/2015/06/chart">
            <c:ext xmlns:c16="http://schemas.microsoft.com/office/drawing/2014/chart" uri="{C3380CC4-5D6E-409C-BE32-E72D297353CC}">
              <c16:uniqueId val="{00000000-1FC2-4111-ABA1-249873A9A151}"/>
            </c:ext>
          </c:extLst>
        </c:ser>
        <c:dLbls>
          <c:showLegendKey val="0"/>
          <c:showVal val="0"/>
          <c:showCatName val="0"/>
          <c:showSerName val="0"/>
          <c:showPercent val="0"/>
          <c:showBubbleSize val="0"/>
        </c:dLbls>
        <c:axId val="-2133015624"/>
        <c:axId val="-2084975896"/>
      </c:scatterChart>
      <c:valAx>
        <c:axId val="-2133015624"/>
        <c:scaling>
          <c:orientation val="minMax"/>
          <c:max val="1200.0"/>
          <c:min val="850.0"/>
        </c:scaling>
        <c:delete val="0"/>
        <c:axPos val="t"/>
        <c:title>
          <c:tx>
            <c:rich>
              <a:bodyPr/>
              <a:lstStyle/>
              <a:p>
                <a:pPr>
                  <a:defRPr sz="2000" b="0"/>
                </a:pPr>
                <a:r>
                  <a:rPr lang="en-US" sz="2000" b="0"/>
                  <a:t>Temperature (</a:t>
                </a:r>
                <a:r>
                  <a:rPr lang="en-US" sz="2000" b="0" baseline="30000"/>
                  <a:t>o</a:t>
                </a:r>
                <a:r>
                  <a:rPr lang="en-US" sz="2000" b="0"/>
                  <a:t>C) </a:t>
                </a:r>
              </a:p>
            </c:rich>
          </c:tx>
          <c:layout>
            <c:manualLayout>
              <c:xMode val="edge"/>
              <c:yMode val="edge"/>
              <c:x val="0.408431315354865"/>
              <c:y val="0.017415600332542"/>
            </c:manualLayout>
          </c:layout>
          <c:overlay val="0"/>
        </c:title>
        <c:numFmt formatCode="0" sourceLinked="0"/>
        <c:majorTickMark val="in"/>
        <c:minorTickMark val="none"/>
        <c:tickLblPos val="nextTo"/>
        <c:txPr>
          <a:bodyPr rot="0" vert="horz"/>
          <a:lstStyle/>
          <a:p>
            <a:pPr>
              <a:defRPr sz="1400" b="0" i="0" u="none" strike="noStrike" baseline="0">
                <a:solidFill>
                  <a:srgbClr val="000000"/>
                </a:solidFill>
                <a:latin typeface="Calibri"/>
                <a:ea typeface="Calibri"/>
                <a:cs typeface="Calibri"/>
              </a:defRPr>
            </a:pPr>
            <a:endParaRPr lang="en-US"/>
          </a:p>
        </c:txPr>
        <c:crossAx val="-2084975896"/>
        <c:crossesAt val="-4.0"/>
        <c:crossBetween val="midCat"/>
      </c:valAx>
      <c:valAx>
        <c:axId val="-2084975896"/>
        <c:scaling>
          <c:orientation val="maxMin"/>
          <c:max val="17.0"/>
          <c:min val="-4.0"/>
        </c:scaling>
        <c:delete val="0"/>
        <c:axPos val="l"/>
        <c:title>
          <c:tx>
            <c:rich>
              <a:bodyPr rot="-5400000" vert="horz"/>
              <a:lstStyle/>
              <a:p>
                <a:pPr>
                  <a:defRPr sz="2000" b="0"/>
                </a:pPr>
                <a:r>
                  <a:rPr lang="en-US" sz="2000" b="0"/>
                  <a:t>Pressure (kbar)</a:t>
                </a:r>
              </a:p>
            </c:rich>
          </c:tx>
          <c:overlay val="0"/>
        </c:title>
        <c:numFmt formatCode="0" sourceLinked="0"/>
        <c:majorTickMark val="in"/>
        <c:minorTickMark val="none"/>
        <c:tickLblPos val="nextTo"/>
        <c:txPr>
          <a:bodyPr/>
          <a:lstStyle/>
          <a:p>
            <a:pPr>
              <a:defRPr sz="1400"/>
            </a:pPr>
            <a:endParaRPr lang="en-US"/>
          </a:p>
        </c:txPr>
        <c:crossAx val="-2133015624"/>
        <c:crosses val="autoZero"/>
        <c:crossBetween val="midCat"/>
      </c:valAx>
      <c:spPr>
        <a:ln>
          <a:solidFill>
            <a:schemeClr val="tx1"/>
          </a:solidFill>
        </a:ln>
      </c:spPr>
    </c:plotArea>
    <c:legend>
      <c:legendPos val="r"/>
      <c:layout>
        <c:manualLayout>
          <c:xMode val="edge"/>
          <c:yMode val="edge"/>
          <c:x val="0.646400349956255"/>
          <c:y val="0.761347503130736"/>
          <c:w val="0.13355543890347"/>
          <c:h val="0.0542792445062014"/>
        </c:manualLayout>
      </c:layout>
      <c:overlay val="0"/>
      <c:spPr>
        <a:ln>
          <a:solidFill>
            <a:schemeClr val="tx1"/>
          </a:solidFill>
        </a:ln>
      </c:spPr>
      <c:txPr>
        <a:bodyPr/>
        <a:lstStyle/>
        <a:p>
          <a:pPr>
            <a:defRPr sz="1400"/>
          </a:pPr>
          <a:endParaRPr lang="en-US"/>
        </a:p>
      </c:txPr>
    </c:legend>
    <c:plotVisOnly val="1"/>
    <c:dispBlanksAs val="gap"/>
    <c:showDLblsOverMax val="0"/>
  </c:chart>
</c:chartSpace>
</file>

<file path=xl/charts/chart2.xml><?xml version="1.0" encoding="utf-8"?>
<c:chartSpace xmlns:c="http://schemas.openxmlformats.org/drawingml/2006/chart" xmlns:a="http://schemas.openxmlformats.org/drawingml/2006/main" xmlns:r="http://schemas.openxmlformats.org/officeDocument/2006/relationships">
  <c:date1904 val="1"/>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7272727272727"/>
          <c:y val="0.0104330092541249"/>
          <c:w val="0.84040404040404"/>
          <c:h val="0.644025957513496"/>
        </c:manualLayout>
      </c:layout>
      <c:scatterChart>
        <c:scatterStyle val="lineMarker"/>
        <c:varyColors val="0"/>
        <c:ser>
          <c:idx val="3"/>
          <c:order val="0"/>
          <c:tx>
            <c:v>One-to-one line</c:v>
          </c:tx>
          <c:spPr>
            <a:ln w="12700">
              <a:solidFill>
                <a:srgbClr val="000000"/>
              </a:solidFill>
              <a:prstDash val="solid"/>
            </a:ln>
          </c:spPr>
          <c:marker>
            <c:symbol val="none"/>
          </c:marker>
          <c:xVal>
            <c:numRef>
              <c:f>'Cpx Input &amp; Models'!$BP$3:$BP$6</c:f>
              <c:numCache>
                <c:formatCode>General</c:formatCode>
                <c:ptCount val="4"/>
                <c:pt idx="0">
                  <c:v>0.0</c:v>
                </c:pt>
                <c:pt idx="1">
                  <c:v>0.1</c:v>
                </c:pt>
                <c:pt idx="2">
                  <c:v>0.5</c:v>
                </c:pt>
                <c:pt idx="3">
                  <c:v>1.0</c:v>
                </c:pt>
              </c:numCache>
            </c:numRef>
          </c:xVal>
          <c:yVal>
            <c:numRef>
              <c:f>'Cpx Input &amp; Models'!$BQ$3:$BQ$6</c:f>
              <c:numCache>
                <c:formatCode>General</c:formatCode>
                <c:ptCount val="4"/>
                <c:pt idx="0">
                  <c:v>0.0</c:v>
                </c:pt>
                <c:pt idx="1">
                  <c:v>0.1</c:v>
                </c:pt>
                <c:pt idx="2">
                  <c:v>0.5</c:v>
                </c:pt>
                <c:pt idx="3">
                  <c:v>1.0</c:v>
                </c:pt>
              </c:numCache>
            </c:numRef>
          </c:yVal>
          <c:smooth val="0"/>
          <c:extLst xmlns:c16r2="http://schemas.microsoft.com/office/drawing/2015/06/chart">
            <c:ext xmlns:c16="http://schemas.microsoft.com/office/drawing/2014/chart" uri="{C3380CC4-5D6E-409C-BE32-E72D297353CC}">
              <c16:uniqueId val="{00000000-D7B8-4934-943E-C4A47868032F}"/>
            </c:ext>
          </c:extLst>
        </c:ser>
        <c:ser>
          <c:idx val="0"/>
          <c:order val="1"/>
          <c:tx>
            <c:v>DiHd</c:v>
          </c:tx>
          <c:spPr>
            <a:ln>
              <a:noFill/>
            </a:ln>
          </c:spPr>
          <c:marker>
            <c:symbol val="square"/>
            <c:size val="12"/>
            <c:spPr>
              <a:solidFill>
                <a:schemeClr val="accent3">
                  <a:lumMod val="75000"/>
                </a:schemeClr>
              </a:solidFill>
              <a:ln>
                <a:solidFill>
                  <a:schemeClr val="tx1"/>
                </a:solidFill>
              </a:ln>
            </c:spPr>
          </c:marker>
          <c:xVal>
            <c:numRef>
              <c:f>'Cpx Input &amp; Models'!$BP$15:$BP$18</c:f>
              <c:numCache>
                <c:formatCode>0.00</c:formatCode>
                <c:ptCount val="4"/>
                <c:pt idx="0">
                  <c:v>0.811303068055354</c:v>
                </c:pt>
                <c:pt idx="1">
                  <c:v>0.797422674396855</c:v>
                </c:pt>
                <c:pt idx="2">
                  <c:v>0.824478300696105</c:v>
                </c:pt>
                <c:pt idx="3">
                  <c:v>0.81528921480177</c:v>
                </c:pt>
              </c:numCache>
            </c:numRef>
          </c:xVal>
          <c:yVal>
            <c:numRef>
              <c:f>'Cpx Input &amp; Models'!$BX$15:$BX$18</c:f>
              <c:numCache>
                <c:formatCode>0.00</c:formatCode>
                <c:ptCount val="4"/>
                <c:pt idx="0">
                  <c:v>0.819938603117918</c:v>
                </c:pt>
                <c:pt idx="1">
                  <c:v>0.732670795037843</c:v>
                </c:pt>
                <c:pt idx="2">
                  <c:v>0.796048786540856</c:v>
                </c:pt>
                <c:pt idx="3">
                  <c:v>0.806693624619156</c:v>
                </c:pt>
              </c:numCache>
            </c:numRef>
          </c:yVal>
          <c:smooth val="0"/>
          <c:extLst xmlns:c16r2="http://schemas.microsoft.com/office/drawing/2015/06/chart">
            <c:ext xmlns:c16="http://schemas.microsoft.com/office/drawing/2014/chart" uri="{C3380CC4-5D6E-409C-BE32-E72D297353CC}">
              <c16:uniqueId val="{00000001-D7B8-4934-943E-C4A47868032F}"/>
            </c:ext>
          </c:extLst>
        </c:ser>
        <c:ser>
          <c:idx val="1"/>
          <c:order val="2"/>
          <c:tx>
            <c:v>EnFs</c:v>
          </c:tx>
          <c:spPr>
            <a:ln>
              <a:noFill/>
            </a:ln>
          </c:spPr>
          <c:marker>
            <c:symbol val="square"/>
            <c:size val="12"/>
            <c:spPr>
              <a:solidFill>
                <a:schemeClr val="tx1"/>
              </a:solidFill>
              <a:ln>
                <a:solidFill>
                  <a:schemeClr val="tx1"/>
                </a:solidFill>
              </a:ln>
            </c:spPr>
          </c:marker>
          <c:xVal>
            <c:numRef>
              <c:f>'Cpx Input &amp; Models'!$BQ$15:$BQ$18</c:f>
              <c:numCache>
                <c:formatCode>0.00</c:formatCode>
                <c:ptCount val="4"/>
                <c:pt idx="0">
                  <c:v>0.0946313975961017</c:v>
                </c:pt>
                <c:pt idx="1">
                  <c:v>0.150751844355248</c:v>
                </c:pt>
                <c:pt idx="2">
                  <c:v>0.109863431491528</c:v>
                </c:pt>
                <c:pt idx="3">
                  <c:v>0.0724286222665289</c:v>
                </c:pt>
              </c:numCache>
            </c:numRef>
          </c:xVal>
          <c:yVal>
            <c:numRef>
              <c:f>'Cpx Input &amp; Models'!$BY$15:$BY$18</c:f>
              <c:numCache>
                <c:formatCode>0.00</c:formatCode>
                <c:ptCount val="4"/>
                <c:pt idx="0">
                  <c:v>0.0972201662949383</c:v>
                </c:pt>
                <c:pt idx="1">
                  <c:v>0.099544976148765</c:v>
                </c:pt>
                <c:pt idx="2">
                  <c:v>0.114595508143962</c:v>
                </c:pt>
                <c:pt idx="3">
                  <c:v>0.106651862186946</c:v>
                </c:pt>
              </c:numCache>
            </c:numRef>
          </c:yVal>
          <c:smooth val="0"/>
          <c:extLst xmlns:c16r2="http://schemas.microsoft.com/office/drawing/2015/06/chart">
            <c:ext xmlns:c16="http://schemas.microsoft.com/office/drawing/2014/chart" uri="{C3380CC4-5D6E-409C-BE32-E72D297353CC}">
              <c16:uniqueId val="{00000002-D7B8-4934-943E-C4A47868032F}"/>
            </c:ext>
          </c:extLst>
        </c:ser>
        <c:ser>
          <c:idx val="2"/>
          <c:order val="3"/>
          <c:tx>
            <c:v>CaTs</c:v>
          </c:tx>
          <c:spPr>
            <a:ln>
              <a:noFill/>
            </a:ln>
          </c:spPr>
          <c:marker>
            <c:symbol val="diamond"/>
            <c:size val="12"/>
            <c:spPr>
              <a:solidFill>
                <a:schemeClr val="bg1">
                  <a:lumMod val="75000"/>
                </a:schemeClr>
              </a:solidFill>
              <a:ln>
                <a:solidFill>
                  <a:schemeClr val="tx1"/>
                </a:solidFill>
              </a:ln>
            </c:spPr>
          </c:marker>
          <c:xVal>
            <c:numRef>
              <c:f>'Cpx Input &amp; Models'!$BR$15:$BR$18</c:f>
              <c:numCache>
                <c:formatCode>0.00</c:formatCode>
                <c:ptCount val="4"/>
                <c:pt idx="0">
                  <c:v>0.0107521433557764</c:v>
                </c:pt>
                <c:pt idx="1">
                  <c:v>0.0140539872788902</c:v>
                </c:pt>
                <c:pt idx="2">
                  <c:v>0.0119073992051219</c:v>
                </c:pt>
                <c:pt idx="3">
                  <c:v>0.0091163349941311</c:v>
                </c:pt>
              </c:numCache>
            </c:numRef>
          </c:xVal>
          <c:yVal>
            <c:numRef>
              <c:f>'Cpx Input &amp; Models'!$BZ$15:$BZ$18</c:f>
              <c:numCache>
                <c:formatCode>0.00</c:formatCode>
                <c:ptCount val="4"/>
                <c:pt idx="0">
                  <c:v>0.0368169479608749</c:v>
                </c:pt>
                <c:pt idx="1">
                  <c:v>0.0918846635490117</c:v>
                </c:pt>
                <c:pt idx="2">
                  <c:v>0.0458273153585577</c:v>
                </c:pt>
                <c:pt idx="3">
                  <c:v>0.0431102905866711</c:v>
                </c:pt>
              </c:numCache>
            </c:numRef>
          </c:yVal>
          <c:smooth val="0"/>
          <c:extLst xmlns:c16r2="http://schemas.microsoft.com/office/drawing/2015/06/chart">
            <c:ext xmlns:c16="http://schemas.microsoft.com/office/drawing/2014/chart" uri="{C3380CC4-5D6E-409C-BE32-E72D297353CC}">
              <c16:uniqueId val="{00000003-D7B8-4934-943E-C4A47868032F}"/>
            </c:ext>
          </c:extLst>
        </c:ser>
        <c:dLbls>
          <c:showLegendKey val="0"/>
          <c:showVal val="0"/>
          <c:showCatName val="0"/>
          <c:showSerName val="0"/>
          <c:showPercent val="0"/>
          <c:showBubbleSize val="0"/>
        </c:dLbls>
        <c:axId val="2123046520"/>
        <c:axId val="2123076184"/>
      </c:scatterChart>
      <c:valAx>
        <c:axId val="2123046520"/>
        <c:scaling>
          <c:orientation val="minMax"/>
          <c:max val="1.1"/>
          <c:min val="0.0"/>
        </c:scaling>
        <c:delete val="0"/>
        <c:axPos val="b"/>
        <c:title>
          <c:tx>
            <c:rich>
              <a:bodyPr/>
              <a:lstStyle/>
              <a:p>
                <a:pPr>
                  <a:defRPr sz="1600" b="0" i="0" u="none" strike="noStrike" baseline="0">
                    <a:solidFill>
                      <a:srgbClr val="000000"/>
                    </a:solidFill>
                    <a:latin typeface="Verdana"/>
                    <a:ea typeface="Verdana"/>
                    <a:cs typeface="Verdana"/>
                  </a:defRPr>
                </a:pPr>
                <a:r>
                  <a:rPr lang="en-US" sz="1600"/>
                  <a:t>Predicted Cpx Components</a:t>
                </a:r>
              </a:p>
            </c:rich>
          </c:tx>
          <c:layout>
            <c:manualLayout>
              <c:xMode val="edge"/>
              <c:yMode val="edge"/>
              <c:x val="0.329292293008828"/>
              <c:y val="0.702051926607766"/>
            </c:manualLayout>
          </c:layout>
          <c:overlay val="0"/>
          <c:spPr>
            <a:noFill/>
            <a:ln w="25400">
              <a:noFill/>
            </a:ln>
          </c:spPr>
        </c:title>
        <c:numFmt formatCode="General" sourceLinked="1"/>
        <c:majorTickMark val="in"/>
        <c:minorTickMark val="none"/>
        <c:tickLblPos val="nextTo"/>
        <c:spPr>
          <a:ln w="12700">
            <a:solidFill>
              <a:srgbClr val="000000"/>
            </a:solidFill>
            <a:prstDash val="solid"/>
          </a:ln>
        </c:spPr>
        <c:txPr>
          <a:bodyPr rot="0" vert="horz"/>
          <a:lstStyle/>
          <a:p>
            <a:pPr>
              <a:defRPr sz="1100" b="0" i="0" u="none" strike="noStrike" baseline="0">
                <a:solidFill>
                  <a:srgbClr val="000000"/>
                </a:solidFill>
                <a:latin typeface="Verdana"/>
                <a:ea typeface="Verdana"/>
                <a:cs typeface="Verdana"/>
              </a:defRPr>
            </a:pPr>
            <a:endParaRPr lang="en-US"/>
          </a:p>
        </c:txPr>
        <c:crossAx val="2123076184"/>
        <c:crosses val="autoZero"/>
        <c:crossBetween val="midCat"/>
      </c:valAx>
      <c:valAx>
        <c:axId val="2123076184"/>
        <c:scaling>
          <c:orientation val="minMax"/>
          <c:max val="1.1"/>
          <c:min val="0.0"/>
        </c:scaling>
        <c:delete val="0"/>
        <c:axPos val="l"/>
        <c:title>
          <c:tx>
            <c:rich>
              <a:bodyPr/>
              <a:lstStyle/>
              <a:p>
                <a:pPr>
                  <a:defRPr sz="1600" b="0" i="0" u="none" strike="noStrike" baseline="0">
                    <a:solidFill>
                      <a:srgbClr val="000000"/>
                    </a:solidFill>
                    <a:latin typeface="Verdana"/>
                    <a:ea typeface="Verdana"/>
                    <a:cs typeface="Verdana"/>
                  </a:defRPr>
                </a:pPr>
                <a:r>
                  <a:rPr lang="en-US" sz="1600"/>
                  <a:t>Observed Cpx Components</a:t>
                </a:r>
              </a:p>
            </c:rich>
          </c:tx>
          <c:layout>
            <c:manualLayout>
              <c:xMode val="edge"/>
              <c:yMode val="edge"/>
              <c:x val="0.0161616161616162"/>
              <c:y val="0.182300715931635"/>
            </c:manualLayout>
          </c:layout>
          <c:overlay val="0"/>
          <c:spPr>
            <a:noFill/>
            <a:ln w="25400">
              <a:noFill/>
            </a:ln>
          </c:spPr>
        </c:title>
        <c:numFmt formatCode="General" sourceLinked="1"/>
        <c:majorTickMark val="in"/>
        <c:minorTickMark val="none"/>
        <c:tickLblPos val="nextTo"/>
        <c:spPr>
          <a:ln w="12700">
            <a:solidFill>
              <a:srgbClr val="000000"/>
            </a:solidFill>
            <a:prstDash val="solid"/>
          </a:ln>
        </c:spPr>
        <c:txPr>
          <a:bodyPr rot="0" vert="horz"/>
          <a:lstStyle/>
          <a:p>
            <a:pPr>
              <a:defRPr sz="1100" b="0" i="0" u="none" strike="noStrike" baseline="0">
                <a:solidFill>
                  <a:srgbClr val="000000"/>
                </a:solidFill>
                <a:latin typeface="Verdana"/>
                <a:ea typeface="Verdana"/>
                <a:cs typeface="Verdana"/>
              </a:defRPr>
            </a:pPr>
            <a:endParaRPr lang="en-US"/>
          </a:p>
        </c:txPr>
        <c:crossAx val="2123046520"/>
        <c:crosses val="autoZero"/>
        <c:crossBetween val="midCat"/>
      </c:valAx>
      <c:spPr>
        <a:noFill/>
        <a:ln w="12700">
          <a:solidFill>
            <a:srgbClr val="000000"/>
          </a:solidFill>
          <a:prstDash val="solid"/>
        </a:ln>
      </c:spPr>
    </c:plotArea>
    <c:legend>
      <c:legendPos val="r"/>
      <c:layout>
        <c:manualLayout>
          <c:xMode val="edge"/>
          <c:yMode val="edge"/>
          <c:x val="0.151821840451762"/>
          <c:y val="0.05320813771518"/>
          <c:w val="0.287774119144198"/>
          <c:h val="0.155492464850344"/>
        </c:manualLayout>
      </c:layout>
      <c:overlay val="0"/>
      <c:spPr>
        <a:solidFill>
          <a:srgbClr val="FFFFFF"/>
        </a:solidFill>
        <a:ln w="12700">
          <a:solidFill>
            <a:srgbClr val="000000"/>
          </a:solidFill>
          <a:prstDash val="solid"/>
        </a:ln>
      </c:spPr>
      <c:txPr>
        <a:bodyPr/>
        <a:lstStyle/>
        <a:p>
          <a:pPr>
            <a:defRPr sz="1400" b="0" i="0" u="none" strike="noStrike" baseline="0">
              <a:solidFill>
                <a:srgbClr val="000000"/>
              </a:solidFill>
              <a:latin typeface="Verdana"/>
              <a:ea typeface="Verdana"/>
              <a:cs typeface="Verdana"/>
            </a:defRPr>
          </a:pPr>
          <a:endParaRPr lang="en-US"/>
        </a:p>
      </c:txPr>
    </c:legend>
    <c:plotVisOnly val="1"/>
    <c:dispBlanksAs val="gap"/>
    <c:showDLblsOverMax val="0"/>
  </c:chart>
  <c:spPr>
    <a:noFill/>
    <a:ln w="9525">
      <a:noFill/>
    </a:ln>
  </c:spPr>
  <c:txPr>
    <a:bodyPr/>
    <a:lstStyle/>
    <a:p>
      <a:pPr>
        <a:defRPr sz="800" b="0" i="0" u="none" strike="noStrike" baseline="0">
          <a:solidFill>
            <a:srgbClr val="000000"/>
          </a:solidFill>
          <a:latin typeface="Verdana"/>
          <a:ea typeface="Verdana"/>
          <a:cs typeface="Verdana"/>
        </a:defRPr>
      </a:pPr>
      <a:endParaRPr lang="en-US"/>
    </a:p>
  </c:txPr>
</c:chartSpace>
</file>

<file path=xl/charts/chart3.xml><?xml version="1.0" encoding="utf-8"?>
<c:chartSpace xmlns:c="http://schemas.openxmlformats.org/drawingml/2006/chart" xmlns:a="http://schemas.openxmlformats.org/drawingml/2006/main" xmlns:r="http://schemas.openxmlformats.org/officeDocument/2006/relationships">
  <c:date1904 val="1"/>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6466282582316"/>
          <c:y val="0.0171974595105928"/>
          <c:w val="0.816161616161616"/>
          <c:h val="0.821350762527233"/>
        </c:manualLayout>
      </c:layout>
      <c:scatterChart>
        <c:scatterStyle val="lineMarker"/>
        <c:varyColors val="0"/>
        <c:ser>
          <c:idx val="3"/>
          <c:order val="0"/>
          <c:spPr>
            <a:ln>
              <a:noFill/>
            </a:ln>
          </c:spPr>
          <c:marker>
            <c:symbol val="circle"/>
            <c:size val="15"/>
            <c:spPr>
              <a:solidFill>
                <a:schemeClr val="bg1">
                  <a:lumMod val="65000"/>
                </a:schemeClr>
              </a:solidFill>
              <a:ln>
                <a:solidFill>
                  <a:schemeClr val="tx1"/>
                </a:solidFill>
              </a:ln>
            </c:spPr>
          </c:marker>
          <c:xVal>
            <c:numRef>
              <c:f>'Cpx Input &amp; Models'!$DP$15:$DP$18</c:f>
              <c:numCache>
                <c:formatCode>General</c:formatCode>
                <c:ptCount val="4"/>
                <c:pt idx="0">
                  <c:v>50.50440109147922</c:v>
                </c:pt>
                <c:pt idx="1">
                  <c:v>52.6033301132546</c:v>
                </c:pt>
                <c:pt idx="2">
                  <c:v>52.5247680752044</c:v>
                </c:pt>
                <c:pt idx="3">
                  <c:v>43.88827726864986</c:v>
                </c:pt>
              </c:numCache>
            </c:numRef>
          </c:xVal>
          <c:yVal>
            <c:numRef>
              <c:f>'Cpx Input &amp; Models'!$FX$15:$FX$18</c:f>
              <c:numCache>
                <c:formatCode>0.0000</c:formatCode>
                <c:ptCount val="4"/>
                <c:pt idx="0">
                  <c:v>82.09949680508282</c:v>
                </c:pt>
                <c:pt idx="1">
                  <c:v>78.19970949014191</c:v>
                </c:pt>
                <c:pt idx="2">
                  <c:v>83.08856244309143</c:v>
                </c:pt>
                <c:pt idx="3">
                  <c:v>77.78744811282499</c:v>
                </c:pt>
              </c:numCache>
            </c:numRef>
          </c:yVal>
          <c:smooth val="0"/>
          <c:extLst xmlns:c16r2="http://schemas.microsoft.com/office/drawing/2015/06/chart">
            <c:ext xmlns:c16="http://schemas.microsoft.com/office/drawing/2014/chart" uri="{C3380CC4-5D6E-409C-BE32-E72D297353CC}">
              <c16:uniqueId val="{00000000-575F-49A0-8E4E-E8F9F4B375DC}"/>
            </c:ext>
          </c:extLst>
        </c:ser>
        <c:ser>
          <c:idx val="4"/>
          <c:order val="1"/>
          <c:spPr>
            <a:ln>
              <a:prstDash val="dash"/>
            </a:ln>
          </c:spPr>
          <c:marker>
            <c:symbol val="none"/>
          </c:marker>
          <c:xVal>
            <c:numRef>
              <c:f>'Rhodes Diag Calcs'!$H$10:$H$41</c:f>
              <c:numCache>
                <c:formatCode>General</c:formatCode>
                <c:ptCount val="32"/>
                <c:pt idx="0">
                  <c:v>0.0</c:v>
                </c:pt>
                <c:pt idx="1">
                  <c:v>2.34375</c:v>
                </c:pt>
                <c:pt idx="2">
                  <c:v>4.580152671755726</c:v>
                </c:pt>
                <c:pt idx="3">
                  <c:v>6.716417910447761</c:v>
                </c:pt>
                <c:pt idx="4">
                  <c:v>8.75912408759124</c:v>
                </c:pt>
                <c:pt idx="5">
                  <c:v>10.71428571428572</c:v>
                </c:pt>
                <c:pt idx="6">
                  <c:v>12.58741258741259</c:v>
                </c:pt>
                <c:pt idx="7">
                  <c:v>14.38356164383562</c:v>
                </c:pt>
                <c:pt idx="8">
                  <c:v>16.10738255033557</c:v>
                </c:pt>
                <c:pt idx="9">
                  <c:v>17.76315789473684</c:v>
                </c:pt>
                <c:pt idx="10">
                  <c:v>19.35483870967742</c:v>
                </c:pt>
                <c:pt idx="11">
                  <c:v>20.88607594936709</c:v>
                </c:pt>
                <c:pt idx="12">
                  <c:v>22.36024844720497</c:v>
                </c:pt>
                <c:pt idx="13">
                  <c:v>23.78048780487805</c:v>
                </c:pt>
                <c:pt idx="14">
                  <c:v>25.14970059880239</c:v>
                </c:pt>
                <c:pt idx="15">
                  <c:v>26.47058823529412</c:v>
                </c:pt>
                <c:pt idx="16">
                  <c:v>27.74566473988439</c:v>
                </c:pt>
                <c:pt idx="17">
                  <c:v>28.97727272727273</c:v>
                </c:pt>
                <c:pt idx="18">
                  <c:v>34.55497382198953</c:v>
                </c:pt>
                <c:pt idx="19">
                  <c:v>39.32038834951457</c:v>
                </c:pt>
                <c:pt idx="20">
                  <c:v>43.43891402714932</c:v>
                </c:pt>
                <c:pt idx="21">
                  <c:v>47.03389830508474</c:v>
                </c:pt>
                <c:pt idx="22">
                  <c:v>50.19920318725101</c:v>
                </c:pt>
                <c:pt idx="23">
                  <c:v>55.51601423487544</c:v>
                </c:pt>
                <c:pt idx="24">
                  <c:v>59.80707395498392</c:v>
                </c:pt>
                <c:pt idx="25">
                  <c:v>63.34310850439883</c:v>
                </c:pt>
                <c:pt idx="26">
                  <c:v>70.58823529411765</c:v>
                </c:pt>
                <c:pt idx="27">
                  <c:v>82.75862068965517</c:v>
                </c:pt>
                <c:pt idx="28">
                  <c:v>90.56603773584905</c:v>
                </c:pt>
                <c:pt idx="29">
                  <c:v>95.04950495049504</c:v>
                </c:pt>
                <c:pt idx="30">
                  <c:v>97.9591836734694</c:v>
                </c:pt>
                <c:pt idx="31">
                  <c:v>99.5850622406639</c:v>
                </c:pt>
              </c:numCache>
            </c:numRef>
          </c:xVal>
          <c:yVal>
            <c:numRef>
              <c:f>'Rhodes Diag Calcs'!$I$10:$I$41</c:f>
              <c:numCache>
                <c:formatCode>General</c:formatCode>
                <c:ptCount val="32"/>
                <c:pt idx="0">
                  <c:v>0.0</c:v>
                </c:pt>
                <c:pt idx="1">
                  <c:v>9.09090909090909</c:v>
                </c:pt>
                <c:pt idx="2">
                  <c:v>16.66666666666667</c:v>
                </c:pt>
                <c:pt idx="3">
                  <c:v>23.07692307692308</c:v>
                </c:pt>
                <c:pt idx="4">
                  <c:v>28.57142857142857</c:v>
                </c:pt>
                <c:pt idx="5">
                  <c:v>33.33333333333334</c:v>
                </c:pt>
                <c:pt idx="6">
                  <c:v>37.5</c:v>
                </c:pt>
                <c:pt idx="7">
                  <c:v>41.1764705882353</c:v>
                </c:pt>
                <c:pt idx="8">
                  <c:v>44.44444444444444</c:v>
                </c:pt>
                <c:pt idx="9">
                  <c:v>47.36842105263158</c:v>
                </c:pt>
                <c:pt idx="10">
                  <c:v>50.0</c:v>
                </c:pt>
                <c:pt idx="11">
                  <c:v>52.38095238095239</c:v>
                </c:pt>
                <c:pt idx="12">
                  <c:v>54.54545454545454</c:v>
                </c:pt>
                <c:pt idx="13">
                  <c:v>56.52173913043478</c:v>
                </c:pt>
                <c:pt idx="14">
                  <c:v>58.33333333333334</c:v>
                </c:pt>
                <c:pt idx="15">
                  <c:v>60.0</c:v>
                </c:pt>
                <c:pt idx="16">
                  <c:v>61.53846153846153</c:v>
                </c:pt>
                <c:pt idx="17">
                  <c:v>62.96296296296296</c:v>
                </c:pt>
                <c:pt idx="18">
                  <c:v>68.75</c:v>
                </c:pt>
                <c:pt idx="19">
                  <c:v>72.97297297297297</c:v>
                </c:pt>
                <c:pt idx="20">
                  <c:v>76.19047619047619</c:v>
                </c:pt>
                <c:pt idx="21">
                  <c:v>78.72340425531915</c:v>
                </c:pt>
                <c:pt idx="22">
                  <c:v>80.76923076923075</c:v>
                </c:pt>
                <c:pt idx="23">
                  <c:v>83.87096774193548</c:v>
                </c:pt>
                <c:pt idx="24">
                  <c:v>86.11111111111111</c:v>
                </c:pt>
                <c:pt idx="25">
                  <c:v>87.80487804878049</c:v>
                </c:pt>
                <c:pt idx="26">
                  <c:v>90.9090909090909</c:v>
                </c:pt>
                <c:pt idx="27">
                  <c:v>95.23809523809524</c:v>
                </c:pt>
                <c:pt idx="28">
                  <c:v>97.5609756097561</c:v>
                </c:pt>
                <c:pt idx="29">
                  <c:v>98.76543209876543</c:v>
                </c:pt>
                <c:pt idx="30">
                  <c:v>99.50248756218906</c:v>
                </c:pt>
                <c:pt idx="31">
                  <c:v>99.9000999000999</c:v>
                </c:pt>
              </c:numCache>
            </c:numRef>
          </c:yVal>
          <c:smooth val="0"/>
          <c:extLst xmlns:c16r2="http://schemas.microsoft.com/office/drawing/2015/06/chart">
            <c:ext xmlns:c16="http://schemas.microsoft.com/office/drawing/2014/chart" uri="{C3380CC4-5D6E-409C-BE32-E72D297353CC}">
              <c16:uniqueId val="{00000001-575F-49A0-8E4E-E8F9F4B375DC}"/>
            </c:ext>
          </c:extLst>
        </c:ser>
        <c:ser>
          <c:idx val="5"/>
          <c:order val="2"/>
          <c:marker>
            <c:symbol val="none"/>
          </c:marker>
          <c:xVal>
            <c:numRef>
              <c:f>'Rhodes Diag Calcs'!$C$10:$C$41</c:f>
              <c:numCache>
                <c:formatCode>General</c:formatCode>
                <c:ptCount val="32"/>
                <c:pt idx="0">
                  <c:v>0.0</c:v>
                </c:pt>
                <c:pt idx="1">
                  <c:v>2.629016553067186</c:v>
                </c:pt>
                <c:pt idx="2">
                  <c:v>5.123339658444022</c:v>
                </c:pt>
                <c:pt idx="3">
                  <c:v>7.493061979648473</c:v>
                </c:pt>
                <c:pt idx="4">
                  <c:v>9.747292418772563</c:v>
                </c:pt>
                <c:pt idx="5">
                  <c:v>11.8942731277533</c:v>
                </c:pt>
                <c:pt idx="6">
                  <c:v>13.94148020654045</c:v>
                </c:pt>
                <c:pt idx="7">
                  <c:v>15.89571068124474</c:v>
                </c:pt>
                <c:pt idx="8">
                  <c:v>17.76315789473684</c:v>
                </c:pt>
                <c:pt idx="9">
                  <c:v>19.54947707160096</c:v>
                </c:pt>
                <c:pt idx="10">
                  <c:v>21.25984251968504</c:v>
                </c:pt>
                <c:pt idx="11">
                  <c:v>22.89899768696993</c:v>
                </c:pt>
                <c:pt idx="12">
                  <c:v>24.47129909365559</c:v>
                </c:pt>
                <c:pt idx="13">
                  <c:v>25.98075499629904</c:v>
                </c:pt>
                <c:pt idx="14">
                  <c:v>27.4310595065312</c:v>
                </c:pt>
                <c:pt idx="15">
                  <c:v>28.82562277580071</c:v>
                </c:pt>
                <c:pt idx="16">
                  <c:v>30.16759776536313</c:v>
                </c:pt>
                <c:pt idx="17">
                  <c:v>31.45990404386566</c:v>
                </c:pt>
                <c:pt idx="18">
                  <c:v>37.26474278544542</c:v>
                </c:pt>
                <c:pt idx="19">
                  <c:v>42.1631000578369</c:v>
                </c:pt>
                <c:pt idx="20">
                  <c:v>46.35193133047211</c:v>
                </c:pt>
                <c:pt idx="21">
                  <c:v>49.97498749374687</c:v>
                </c:pt>
                <c:pt idx="22">
                  <c:v>53.13964386129334</c:v>
                </c:pt>
                <c:pt idx="23">
                  <c:v>58.40266222961731</c:v>
                </c:pt>
                <c:pt idx="24">
                  <c:v>62.60284218399401</c:v>
                </c:pt>
                <c:pt idx="25">
                  <c:v>66.03260869565217</c:v>
                </c:pt>
                <c:pt idx="26">
                  <c:v>72.97297297297297</c:v>
                </c:pt>
                <c:pt idx="27">
                  <c:v>84.375</c:v>
                </c:pt>
                <c:pt idx="28">
                  <c:v>91.52542372881354</c:v>
                </c:pt>
                <c:pt idx="29">
                  <c:v>95.57522123893804</c:v>
                </c:pt>
                <c:pt idx="30">
                  <c:v>98.18181818181818</c:v>
                </c:pt>
                <c:pt idx="31">
                  <c:v>99.63099630996309</c:v>
                </c:pt>
              </c:numCache>
            </c:numRef>
          </c:xVal>
          <c:yVal>
            <c:numRef>
              <c:f>'Rhodes Diag Calcs'!$D$10:$D$41</c:f>
              <c:numCache>
                <c:formatCode>General</c:formatCode>
                <c:ptCount val="32"/>
                <c:pt idx="0">
                  <c:v>0.0</c:v>
                </c:pt>
                <c:pt idx="1">
                  <c:v>9.09090909090909</c:v>
                </c:pt>
                <c:pt idx="2">
                  <c:v>16.66666666666667</c:v>
                </c:pt>
                <c:pt idx="3">
                  <c:v>23.07692307692308</c:v>
                </c:pt>
                <c:pt idx="4">
                  <c:v>28.57142857142857</c:v>
                </c:pt>
                <c:pt idx="5">
                  <c:v>33.33333333333334</c:v>
                </c:pt>
                <c:pt idx="6">
                  <c:v>37.5</c:v>
                </c:pt>
                <c:pt idx="7">
                  <c:v>41.1764705882353</c:v>
                </c:pt>
                <c:pt idx="8">
                  <c:v>44.44444444444444</c:v>
                </c:pt>
                <c:pt idx="9">
                  <c:v>47.36842105263158</c:v>
                </c:pt>
                <c:pt idx="10">
                  <c:v>50.0</c:v>
                </c:pt>
                <c:pt idx="11">
                  <c:v>52.38095238095239</c:v>
                </c:pt>
                <c:pt idx="12">
                  <c:v>54.54545454545454</c:v>
                </c:pt>
                <c:pt idx="13">
                  <c:v>56.52173913043478</c:v>
                </c:pt>
                <c:pt idx="14">
                  <c:v>58.33333333333334</c:v>
                </c:pt>
                <c:pt idx="15">
                  <c:v>60.0</c:v>
                </c:pt>
                <c:pt idx="16">
                  <c:v>61.53846153846153</c:v>
                </c:pt>
                <c:pt idx="17">
                  <c:v>62.96296296296296</c:v>
                </c:pt>
                <c:pt idx="18">
                  <c:v>68.75</c:v>
                </c:pt>
                <c:pt idx="19">
                  <c:v>72.97297297297297</c:v>
                </c:pt>
                <c:pt idx="20">
                  <c:v>76.19047619047619</c:v>
                </c:pt>
                <c:pt idx="21">
                  <c:v>78.72340425531915</c:v>
                </c:pt>
                <c:pt idx="22">
                  <c:v>80.76923076923075</c:v>
                </c:pt>
                <c:pt idx="23">
                  <c:v>83.87096774193548</c:v>
                </c:pt>
                <c:pt idx="24">
                  <c:v>86.11111111111111</c:v>
                </c:pt>
                <c:pt idx="25">
                  <c:v>87.80487804878049</c:v>
                </c:pt>
                <c:pt idx="26">
                  <c:v>90.9090909090909</c:v>
                </c:pt>
                <c:pt idx="27">
                  <c:v>95.23809523809524</c:v>
                </c:pt>
                <c:pt idx="28">
                  <c:v>97.5609756097561</c:v>
                </c:pt>
                <c:pt idx="29">
                  <c:v>98.76543209876543</c:v>
                </c:pt>
                <c:pt idx="30">
                  <c:v>99.50248756218906</c:v>
                </c:pt>
                <c:pt idx="31">
                  <c:v>99.9000999000999</c:v>
                </c:pt>
              </c:numCache>
            </c:numRef>
          </c:yVal>
          <c:smooth val="0"/>
          <c:extLst xmlns:c16r2="http://schemas.microsoft.com/office/drawing/2015/06/chart">
            <c:ext xmlns:c16="http://schemas.microsoft.com/office/drawing/2014/chart" uri="{C3380CC4-5D6E-409C-BE32-E72D297353CC}">
              <c16:uniqueId val="{00000002-575F-49A0-8E4E-E8F9F4B375DC}"/>
            </c:ext>
          </c:extLst>
        </c:ser>
        <c:ser>
          <c:idx val="0"/>
          <c:order val="3"/>
          <c:spPr>
            <a:ln>
              <a:prstDash val="dash"/>
            </a:ln>
          </c:spPr>
          <c:marker>
            <c:symbol val="none"/>
          </c:marker>
          <c:xVal>
            <c:numRef>
              <c:f>'Rhodes Diag Calcs'!$M$10:$M$41</c:f>
              <c:numCache>
                <c:formatCode>General</c:formatCode>
                <c:ptCount val="32"/>
                <c:pt idx="0">
                  <c:v>0.0</c:v>
                </c:pt>
                <c:pt idx="1">
                  <c:v>2.912621359223301</c:v>
                </c:pt>
                <c:pt idx="2">
                  <c:v>5.660377358490566</c:v>
                </c:pt>
                <c:pt idx="3">
                  <c:v>8.256880733944955</c:v>
                </c:pt>
                <c:pt idx="4">
                  <c:v>10.71428571428572</c:v>
                </c:pt>
                <c:pt idx="5">
                  <c:v>13.04347826086957</c:v>
                </c:pt>
                <c:pt idx="6">
                  <c:v>15.2542372881356</c:v>
                </c:pt>
                <c:pt idx="7">
                  <c:v>17.35537190082645</c:v>
                </c:pt>
                <c:pt idx="8">
                  <c:v>19.35483870967742</c:v>
                </c:pt>
                <c:pt idx="9">
                  <c:v>21.25984251968504</c:v>
                </c:pt>
                <c:pt idx="10">
                  <c:v>23.07692307692308</c:v>
                </c:pt>
                <c:pt idx="11">
                  <c:v>24.81203007518797</c:v>
                </c:pt>
                <c:pt idx="12">
                  <c:v>26.47058823529412</c:v>
                </c:pt>
                <c:pt idx="13">
                  <c:v>28.05755395683454</c:v>
                </c:pt>
                <c:pt idx="14">
                  <c:v>29.5774647887324</c:v>
                </c:pt>
                <c:pt idx="15">
                  <c:v>31.0344827586207</c:v>
                </c:pt>
                <c:pt idx="16">
                  <c:v>32.43243243243244</c:v>
                </c:pt>
                <c:pt idx="17">
                  <c:v>33.77483443708609</c:v>
                </c:pt>
                <c:pt idx="18">
                  <c:v>39.75903614457831</c:v>
                </c:pt>
                <c:pt idx="19">
                  <c:v>44.75138121546962</c:v>
                </c:pt>
                <c:pt idx="20">
                  <c:v>48.9795918367347</c:v>
                </c:pt>
                <c:pt idx="21">
                  <c:v>52.60663507109005</c:v>
                </c:pt>
                <c:pt idx="22">
                  <c:v>55.75221238938054</c:v>
                </c:pt>
                <c:pt idx="23">
                  <c:v>60.9375</c:v>
                </c:pt>
                <c:pt idx="24">
                  <c:v>65.03496503496504</c:v>
                </c:pt>
                <c:pt idx="25">
                  <c:v>68.35443037974684</c:v>
                </c:pt>
                <c:pt idx="26">
                  <c:v>75.00000000000001</c:v>
                </c:pt>
                <c:pt idx="27">
                  <c:v>85.71428571428572</c:v>
                </c:pt>
                <c:pt idx="28">
                  <c:v>92.30769230769231</c:v>
                </c:pt>
                <c:pt idx="29">
                  <c:v>96.0</c:v>
                </c:pt>
                <c:pt idx="30">
                  <c:v>98.36065573770492</c:v>
                </c:pt>
                <c:pt idx="31">
                  <c:v>99.66777408637874</c:v>
                </c:pt>
              </c:numCache>
            </c:numRef>
          </c:xVal>
          <c:yVal>
            <c:numRef>
              <c:f>'Rhodes Diag Calcs'!$N$10:$N$41</c:f>
              <c:numCache>
                <c:formatCode>General</c:formatCode>
                <c:ptCount val="32"/>
                <c:pt idx="0">
                  <c:v>0.0</c:v>
                </c:pt>
                <c:pt idx="1">
                  <c:v>9.09090909090909</c:v>
                </c:pt>
                <c:pt idx="2">
                  <c:v>16.66666666666667</c:v>
                </c:pt>
                <c:pt idx="3">
                  <c:v>23.07692307692308</c:v>
                </c:pt>
                <c:pt idx="4">
                  <c:v>28.57142857142857</c:v>
                </c:pt>
                <c:pt idx="5">
                  <c:v>33.33333333333334</c:v>
                </c:pt>
                <c:pt idx="6">
                  <c:v>37.5</c:v>
                </c:pt>
                <c:pt idx="7">
                  <c:v>41.1764705882353</c:v>
                </c:pt>
                <c:pt idx="8">
                  <c:v>44.44444444444444</c:v>
                </c:pt>
                <c:pt idx="9">
                  <c:v>47.36842105263158</c:v>
                </c:pt>
                <c:pt idx="10">
                  <c:v>50.0</c:v>
                </c:pt>
                <c:pt idx="11">
                  <c:v>52.38095238095239</c:v>
                </c:pt>
                <c:pt idx="12">
                  <c:v>54.54545454545454</c:v>
                </c:pt>
                <c:pt idx="13">
                  <c:v>56.52173913043478</c:v>
                </c:pt>
                <c:pt idx="14">
                  <c:v>58.33333333333334</c:v>
                </c:pt>
                <c:pt idx="15">
                  <c:v>60.0</c:v>
                </c:pt>
                <c:pt idx="16">
                  <c:v>61.53846153846153</c:v>
                </c:pt>
                <c:pt idx="17">
                  <c:v>62.96296296296296</c:v>
                </c:pt>
                <c:pt idx="18">
                  <c:v>68.75</c:v>
                </c:pt>
                <c:pt idx="19">
                  <c:v>72.97297297297297</c:v>
                </c:pt>
                <c:pt idx="20">
                  <c:v>76.19047619047619</c:v>
                </c:pt>
                <c:pt idx="21">
                  <c:v>78.72340425531915</c:v>
                </c:pt>
                <c:pt idx="22">
                  <c:v>80.76923076923075</c:v>
                </c:pt>
                <c:pt idx="23">
                  <c:v>83.87096774193548</c:v>
                </c:pt>
                <c:pt idx="24">
                  <c:v>86.11111111111111</c:v>
                </c:pt>
                <c:pt idx="25">
                  <c:v>87.80487804878049</c:v>
                </c:pt>
                <c:pt idx="26">
                  <c:v>90.9090909090909</c:v>
                </c:pt>
                <c:pt idx="27">
                  <c:v>95.23809523809524</c:v>
                </c:pt>
                <c:pt idx="28">
                  <c:v>97.5609756097561</c:v>
                </c:pt>
                <c:pt idx="29">
                  <c:v>98.76543209876543</c:v>
                </c:pt>
                <c:pt idx="30">
                  <c:v>99.50248756218906</c:v>
                </c:pt>
                <c:pt idx="31">
                  <c:v>99.9000999000999</c:v>
                </c:pt>
              </c:numCache>
            </c:numRef>
          </c:yVal>
          <c:smooth val="0"/>
          <c:extLst xmlns:c16r2="http://schemas.microsoft.com/office/drawing/2015/06/chart">
            <c:ext xmlns:c16="http://schemas.microsoft.com/office/drawing/2014/chart" uri="{C3380CC4-5D6E-409C-BE32-E72D297353CC}">
              <c16:uniqueId val="{00000003-575F-49A0-8E4E-E8F9F4B375DC}"/>
            </c:ext>
          </c:extLst>
        </c:ser>
        <c:dLbls>
          <c:showLegendKey val="0"/>
          <c:showVal val="0"/>
          <c:showCatName val="0"/>
          <c:showSerName val="0"/>
          <c:showPercent val="0"/>
          <c:showBubbleSize val="0"/>
        </c:dLbls>
        <c:axId val="2129989768"/>
        <c:axId val="-2086650232"/>
      </c:scatterChart>
      <c:valAx>
        <c:axId val="2129989768"/>
        <c:scaling>
          <c:orientation val="minMax"/>
          <c:max val="100.0"/>
        </c:scaling>
        <c:delete val="0"/>
        <c:axPos val="b"/>
        <c:title>
          <c:tx>
            <c:rich>
              <a:bodyPr/>
              <a:lstStyle/>
              <a:p>
                <a:pPr>
                  <a:defRPr sz="1800" b="0" i="0" u="none" strike="noStrike" baseline="0">
                    <a:solidFill>
                      <a:srgbClr val="000000"/>
                    </a:solidFill>
                    <a:latin typeface="Verdana"/>
                    <a:ea typeface="Verdana"/>
                    <a:cs typeface="Verdana"/>
                  </a:defRPr>
                </a:pPr>
                <a:r>
                  <a:rPr lang="en-US" sz="1800" b="0"/>
                  <a:t>100xMg# Liquid</a:t>
                </a:r>
              </a:p>
            </c:rich>
          </c:tx>
          <c:layout>
            <c:manualLayout>
              <c:xMode val="edge"/>
              <c:yMode val="edge"/>
              <c:x val="0.414141414141414"/>
              <c:y val="0.928104575163399"/>
            </c:manualLayout>
          </c:layout>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400" b="0" i="0" u="none" strike="noStrike" baseline="0">
                <a:solidFill>
                  <a:srgbClr val="000000"/>
                </a:solidFill>
                <a:latin typeface="Verdana"/>
                <a:ea typeface="Verdana"/>
                <a:cs typeface="Verdana"/>
              </a:defRPr>
            </a:pPr>
            <a:endParaRPr lang="en-US"/>
          </a:p>
        </c:txPr>
        <c:crossAx val="-2086650232"/>
        <c:crosses val="autoZero"/>
        <c:crossBetween val="midCat"/>
      </c:valAx>
      <c:valAx>
        <c:axId val="-2086650232"/>
        <c:scaling>
          <c:orientation val="minMax"/>
          <c:max val="100.0"/>
        </c:scaling>
        <c:delete val="0"/>
        <c:axPos val="l"/>
        <c:title>
          <c:tx>
            <c:rich>
              <a:bodyPr/>
              <a:lstStyle/>
              <a:p>
                <a:pPr>
                  <a:defRPr sz="1800" b="0" i="0" u="none" strike="noStrike" baseline="0">
                    <a:solidFill>
                      <a:srgbClr val="000000"/>
                    </a:solidFill>
                    <a:latin typeface="Verdana"/>
                    <a:ea typeface="Verdana"/>
                    <a:cs typeface="Verdana"/>
                  </a:defRPr>
                </a:pPr>
                <a:r>
                  <a:rPr lang="en-US" sz="1800" b="0"/>
                  <a:t>100xMg# Clinopyroxene</a:t>
                </a:r>
              </a:p>
            </c:rich>
          </c:tx>
          <c:layout>
            <c:manualLayout>
              <c:xMode val="edge"/>
              <c:yMode val="edge"/>
              <c:x val="0.0181818181818182"/>
              <c:y val="0.298474945533769"/>
            </c:manualLayout>
          </c:layout>
          <c:overlay val="0"/>
          <c:spPr>
            <a:noFill/>
            <a:ln w="25400">
              <a:noFill/>
            </a:ln>
          </c:spPr>
        </c:title>
        <c:numFmt formatCode="0" sourceLinked="0"/>
        <c:majorTickMark val="in"/>
        <c:minorTickMark val="none"/>
        <c:tickLblPos val="nextTo"/>
        <c:spPr>
          <a:ln w="25400">
            <a:solidFill>
              <a:srgbClr val="000000"/>
            </a:solidFill>
            <a:prstDash val="solid"/>
          </a:ln>
        </c:spPr>
        <c:txPr>
          <a:bodyPr rot="0" vert="horz"/>
          <a:lstStyle/>
          <a:p>
            <a:pPr>
              <a:defRPr sz="1400" b="0" i="0" u="none" strike="noStrike" baseline="0">
                <a:solidFill>
                  <a:srgbClr val="000000"/>
                </a:solidFill>
                <a:latin typeface="Verdana"/>
                <a:ea typeface="Verdana"/>
                <a:cs typeface="Verdana"/>
              </a:defRPr>
            </a:pPr>
            <a:endParaRPr lang="en-US"/>
          </a:p>
        </c:txPr>
        <c:crossAx val="2129989768"/>
        <c:crosses val="autoZero"/>
        <c:crossBetween val="midCat"/>
      </c:valAx>
      <c:spPr>
        <a:noFill/>
        <a:ln w="12700">
          <a:solidFill>
            <a:srgbClr val="000000"/>
          </a:solidFill>
          <a:prstDash val="solid"/>
        </a:ln>
      </c:spPr>
    </c:plotArea>
    <c:plotVisOnly val="1"/>
    <c:dispBlanksAs val="gap"/>
    <c:showDLblsOverMax val="0"/>
  </c:chart>
  <c:spPr>
    <a:noFill/>
    <a:ln w="9525">
      <a:noFill/>
    </a:ln>
  </c:spPr>
  <c:txPr>
    <a:bodyPr/>
    <a:lstStyle/>
    <a:p>
      <a:pPr>
        <a:defRPr sz="875" b="0" i="0" u="none" strike="noStrike" baseline="0">
          <a:solidFill>
            <a:srgbClr val="000000"/>
          </a:solidFill>
          <a:latin typeface="Verdana"/>
          <a:ea typeface="Verdana"/>
          <a:cs typeface="Verdana"/>
        </a:defRPr>
      </a:pPr>
      <a:endParaRPr lang="en-US"/>
    </a:p>
  </c:txPr>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2.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4.xml"/></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5" right="0.75" top="1" bottom="1" header="0.5" footer="0.5"/>
  <drawing r:id="rId1"/>
</chartsheet>
</file>

<file path=xl/chartsheets/sheet2.xml><?xml version="1.0" encoding="utf-8"?>
<chartsheet xmlns="http://schemas.openxmlformats.org/spreadsheetml/2006/main" xmlns:r="http://schemas.openxmlformats.org/officeDocument/2006/relationships">
  <sheetPr/>
  <sheetViews>
    <sheetView zoomScale="125" workbookViewId="0"/>
  </sheetViews>
  <pageMargins left="0.75" right="0.75" top="1" bottom="1" header="0.5" footer="0.5"/>
  <pageSetup orientation="portrait" horizontalDpi="4294967292" verticalDpi="4294967292"/>
  <drawing r:id="rId1"/>
</chartsheet>
</file>

<file path=xl/chartsheets/sheet3.xml><?xml version="1.0" encoding="utf-8"?>
<chartsheet xmlns="http://schemas.openxmlformats.org/spreadsheetml/2006/main" xmlns:r="http://schemas.openxmlformats.org/officeDocument/2006/relationships">
  <sheetPr/>
  <sheetViews>
    <sheetView zoomScale="129" workbookViewId="0" zoomToFit="1"/>
  </sheetViews>
  <pageMargins left="0.75" right="0.75" top="1" bottom="1" header="0.5" footer="0.5"/>
  <drawing r:id="rId1"/>
</chartsheet>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50800</xdr:colOff>
      <xdr:row>0</xdr:row>
      <xdr:rowOff>50799</xdr:rowOff>
    </xdr:from>
    <xdr:to>
      <xdr:col>10</xdr:col>
      <xdr:colOff>422266</xdr:colOff>
      <xdr:row>68</xdr:row>
      <xdr:rowOff>66674</xdr:rowOff>
    </xdr:to>
    <xdr:sp macro="" textlink="">
      <xdr:nvSpPr>
        <xdr:cNvPr id="2" name="TextBox 1">
          <a:extLst>
            <a:ext uri="{FF2B5EF4-FFF2-40B4-BE49-F238E27FC236}">
              <a16:creationId xmlns:a16="http://schemas.microsoft.com/office/drawing/2014/main" xmlns="" id="{00000000-0008-0000-0000-000002000000}"/>
            </a:ext>
          </a:extLst>
        </xdr:cNvPr>
        <xdr:cNvSpPr txBox="1"/>
      </xdr:nvSpPr>
      <xdr:spPr>
        <a:xfrm>
          <a:off x="50800" y="50799"/>
          <a:ext cx="8753466" cy="110267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en-US" sz="1600" b="1" i="0" strike="noStrike">
              <a:solidFill>
                <a:srgbClr val="000000"/>
              </a:solidFill>
              <a:latin typeface="Calibri"/>
              <a:ea typeface="Calibri"/>
              <a:cs typeface="Calibri"/>
            </a:rPr>
            <a:t>Instructions for estimating P and T using clinopyroxene-based thermobarometers</a:t>
          </a:r>
        </a:p>
        <a:p>
          <a:pPr algn="l" rtl="0">
            <a:defRPr sz="1000"/>
          </a:pPr>
          <a:endParaRPr lang="en-US" sz="1100" b="0" i="0" strike="noStrike">
            <a:solidFill>
              <a:srgbClr val="000000"/>
            </a:solidFill>
            <a:latin typeface="Calibri"/>
            <a:ea typeface="Calibri"/>
            <a:cs typeface="Calibri"/>
          </a:endParaRPr>
        </a:p>
        <a:p>
          <a:pPr algn="l" rtl="0">
            <a:defRPr sz="1000"/>
          </a:pPr>
          <a:r>
            <a:rPr lang="en-US" sz="1200" b="0" i="0" strike="noStrike">
              <a:solidFill>
                <a:srgbClr val="000000"/>
              </a:solidFill>
              <a:latin typeface="Calibri"/>
              <a:ea typeface="Calibri"/>
              <a:cs typeface="Calibri"/>
            </a:rPr>
            <a:t>For details see:</a:t>
          </a:r>
        </a:p>
        <a:p>
          <a:pPr algn="l" rtl="0">
            <a:defRPr sz="1000"/>
          </a:pPr>
          <a:endParaRPr lang="en-US" sz="1200" b="0" i="0" strike="noStrike">
            <a:solidFill>
              <a:srgbClr val="000000"/>
            </a:solidFill>
            <a:latin typeface="Calibri"/>
            <a:ea typeface="Calibri"/>
            <a:cs typeface="Calibri"/>
          </a:endParaRPr>
        </a:p>
        <a:p>
          <a:pPr algn="l" rtl="0">
            <a:defRPr sz="1000"/>
          </a:pPr>
          <a:r>
            <a:rPr lang="en-US" sz="1200" b="0" i="0" strike="noStrike">
              <a:solidFill>
                <a:srgbClr val="000000"/>
              </a:solidFill>
              <a:latin typeface="Calibri"/>
              <a:ea typeface="Calibri"/>
              <a:cs typeface="Calibri"/>
            </a:rPr>
            <a:t>Putirka, K. (2008) Thermometers and Barometers for Volcanic Systems. In: Putirka, K., Tepley, F. (Eds.), Minerals, Inclusions and Volcanic Processes, Reviews in Mineralogy and Geochemistry, Mineralogical Soc. Am., v. 69, pp. 61-120.</a:t>
          </a:r>
        </a:p>
        <a:p>
          <a:pPr algn="l" rtl="0">
            <a:defRPr sz="1000"/>
          </a:pPr>
          <a:endParaRPr lang="en-US" sz="1200" b="0" i="0" strike="noStrike" baseline="0">
            <a:solidFill>
              <a:srgbClr val="000000"/>
            </a:solidFill>
            <a:latin typeface="Calibri"/>
            <a:ea typeface="Calibri"/>
            <a:cs typeface="Calibri"/>
          </a:endParaRPr>
        </a:p>
        <a:p>
          <a:pPr algn="l" rtl="0">
            <a:defRPr sz="1000"/>
          </a:pPr>
          <a:r>
            <a:rPr lang="en-US" sz="1200" b="0" i="0" strike="noStrike" baseline="0">
              <a:solidFill>
                <a:srgbClr val="000000"/>
              </a:solidFill>
              <a:latin typeface="+mn-lt"/>
              <a:ea typeface="Calibri"/>
              <a:cs typeface="Calibri"/>
            </a:rPr>
            <a:t>Neave, D. A. and Putirka, K. (2017) Clinopyroxene-liquid barometry revisited: magma storage pressures under Icelandic rift zones. American Mineralogist.</a:t>
          </a:r>
          <a:endParaRPr lang="en-US" sz="1200" b="0" i="0" strike="noStrike">
            <a:solidFill>
              <a:srgbClr val="000000"/>
            </a:solidFill>
            <a:latin typeface="Calibri"/>
            <a:ea typeface="Calibri"/>
            <a:cs typeface="Calibri"/>
          </a:endParaRPr>
        </a:p>
        <a:p>
          <a:pPr algn="l" rtl="0">
            <a:defRPr sz="1000"/>
          </a:pPr>
          <a:endParaRPr lang="en-US" sz="1200" b="0" i="0" strike="noStrike">
            <a:solidFill>
              <a:srgbClr val="000000"/>
            </a:solidFill>
            <a:latin typeface="Calibri"/>
            <a:ea typeface="Calibri"/>
            <a:cs typeface="Calibri"/>
          </a:endParaRPr>
        </a:p>
        <a:p>
          <a:pPr algn="l" rtl="0">
            <a:defRPr sz="1000"/>
          </a:pPr>
          <a:r>
            <a:rPr lang="en-US" sz="1200" b="0" i="0" u="sng" strike="noStrike">
              <a:solidFill>
                <a:srgbClr val="000000"/>
              </a:solidFill>
              <a:latin typeface="Calibri"/>
              <a:ea typeface="Calibri"/>
              <a:cs typeface="Calibri"/>
            </a:rPr>
            <a:t>Input</a:t>
          </a:r>
        </a:p>
        <a:p>
          <a:pPr algn="l" rtl="0">
            <a:defRPr sz="1000"/>
          </a:pPr>
          <a:r>
            <a:rPr lang="en-US" sz="1200" b="0" i="0" strike="noStrike">
              <a:solidFill>
                <a:srgbClr val="000000"/>
              </a:solidFill>
              <a:latin typeface="Calibri"/>
              <a:ea typeface="Calibri"/>
              <a:cs typeface="Calibri"/>
            </a:rPr>
            <a:t>1) Enter a nominal liquid composition in columns F-Q, leaving blank any oxides that are not available. The “liquid” could be the composition of a glass, or the whole rock, or some calculated composition – use whatever you think is most likely to be in equilibrium with a given clinopyroxene.</a:t>
          </a:r>
        </a:p>
        <a:p>
          <a:pPr algn="l" rtl="0">
            <a:defRPr sz="1000"/>
          </a:pPr>
          <a:r>
            <a:rPr lang="en-US" sz="1200" b="0" i="0" strike="noStrike">
              <a:solidFill>
                <a:srgbClr val="000000"/>
              </a:solidFill>
              <a:latin typeface="Calibri"/>
              <a:ea typeface="Calibri"/>
              <a:cs typeface="Calibri"/>
            </a:rPr>
            <a:t>2)</a:t>
          </a:r>
          <a:r>
            <a:rPr lang="en-US" sz="1200" b="0" i="0" strike="noStrike" baseline="0">
              <a:solidFill>
                <a:srgbClr val="000000"/>
              </a:solidFill>
              <a:latin typeface="Calibri"/>
              <a:ea typeface="Calibri"/>
              <a:cs typeface="Calibri"/>
            </a:rPr>
            <a:t> Enter an equilibrium cpx composition</a:t>
          </a:r>
          <a:r>
            <a:rPr lang="en-US" sz="1200" b="0" i="0" strike="noStrike">
              <a:solidFill>
                <a:srgbClr val="000000"/>
              </a:solidFill>
              <a:latin typeface="Calibri"/>
              <a:ea typeface="Calibri"/>
              <a:cs typeface="Calibri"/>
            </a:rPr>
            <a:t> in columns T-AC. Consider</a:t>
          </a:r>
          <a:r>
            <a:rPr lang="en-US" sz="1200" b="0" i="0" strike="noStrike" baseline="0">
              <a:solidFill>
                <a:srgbClr val="000000"/>
              </a:solidFill>
              <a:latin typeface="Calibri"/>
              <a:ea typeface="Calibri"/>
              <a:cs typeface="Calibri"/>
            </a:rPr>
            <a:t> (</a:t>
          </a:r>
          <a:r>
            <a:rPr lang="en-US" sz="1200" b="0" i="0" strike="noStrike">
              <a:solidFill>
                <a:srgbClr val="000000"/>
              </a:solidFill>
              <a:latin typeface="Calibri"/>
              <a:ea typeface="Calibri"/>
              <a:cs typeface="Calibri"/>
            </a:rPr>
            <a:t>but</a:t>
          </a:r>
          <a:r>
            <a:rPr lang="en-US" sz="1200" b="0" i="0" strike="noStrike" baseline="0">
              <a:solidFill>
                <a:srgbClr val="000000"/>
              </a:solidFill>
              <a:latin typeface="Calibri"/>
              <a:ea typeface="Calibri"/>
              <a:cs typeface="Calibri"/>
            </a:rPr>
            <a:t> of course not be wedded to)</a:t>
          </a:r>
          <a:r>
            <a:rPr lang="en-US" sz="1200" b="0" i="0" strike="noStrike">
              <a:solidFill>
                <a:srgbClr val="000000"/>
              </a:solidFill>
              <a:latin typeface="Calibri"/>
              <a:ea typeface="Calibri"/>
              <a:cs typeface="Calibri"/>
            </a:rPr>
            <a:t> matching mineral rims to matrix glass and mineral cores to whole rock compositions, at least to start. </a:t>
          </a:r>
        </a:p>
        <a:p>
          <a:pPr algn="l" rtl="0">
            <a:defRPr sz="1000"/>
          </a:pPr>
          <a:endParaRPr lang="en-US" sz="1200" b="0" i="0" strike="noStrike">
            <a:solidFill>
              <a:srgbClr val="000000"/>
            </a:solidFill>
            <a:latin typeface="Calibri"/>
            <a:ea typeface="Calibri"/>
            <a:cs typeface="Calibri"/>
          </a:endParaRPr>
        </a:p>
        <a:p>
          <a:pPr algn="l" rtl="0">
            <a:defRPr sz="1000"/>
          </a:pPr>
          <a:r>
            <a:rPr lang="en-US" sz="1200" b="0" i="0" strike="noStrike">
              <a:solidFill>
                <a:srgbClr val="000000"/>
              </a:solidFill>
              <a:latin typeface="Calibri"/>
              <a:ea typeface="Calibri"/>
              <a:cs typeface="Calibri"/>
            </a:rPr>
            <a:t>Most</a:t>
          </a:r>
          <a:r>
            <a:rPr lang="en-US" sz="1200" b="0" i="0" strike="noStrike" baseline="0">
              <a:solidFill>
                <a:srgbClr val="000000"/>
              </a:solidFill>
              <a:latin typeface="Calibri"/>
              <a:ea typeface="Calibri"/>
              <a:cs typeface="Calibri"/>
            </a:rPr>
            <a:t> cyrstals are not in equilibrium with their host whole rocks, but it may be possible to find the correct liquid by comparing whole rock compositions along a liquid line of descent, in a variation diagram. On the assumption that the minerals in question are related to the liquid on such a trend, one can then obain the liquid by simply mixing variation proportions of observed end members until the Fe-Mg exchange coefficient approaches 0.27-0.28 and the difference between predicted and observed DiHd values approach zero. If these two tests do not converge, it could be because of model error, or that none of the proposed compositions satisfy as a liquid.</a:t>
          </a:r>
          <a:endParaRPr lang="en-US" sz="1200" b="0" i="0" strike="noStrike">
            <a:solidFill>
              <a:srgbClr val="000000"/>
            </a:solidFill>
            <a:latin typeface="Calibri"/>
            <a:ea typeface="Calibri"/>
            <a:cs typeface="Calibri"/>
          </a:endParaRPr>
        </a:p>
        <a:p>
          <a:pPr algn="l" rtl="0">
            <a:defRPr sz="1000"/>
          </a:pPr>
          <a:endParaRPr lang="en-US" sz="1200" b="0" i="0" strike="noStrike">
            <a:solidFill>
              <a:srgbClr val="000000"/>
            </a:solidFill>
            <a:latin typeface="Calibri"/>
            <a:ea typeface="Calibri"/>
            <a:cs typeface="Calibri"/>
          </a:endParaRPr>
        </a:p>
        <a:p>
          <a:pPr algn="l" rtl="0">
            <a:defRPr sz="1000"/>
          </a:pPr>
          <a:r>
            <a:rPr lang="en-US" sz="1200" b="0" i="0" u="sng" strike="noStrike">
              <a:solidFill>
                <a:srgbClr val="000000"/>
              </a:solidFill>
              <a:latin typeface="Calibri"/>
              <a:ea typeface="Calibri"/>
              <a:cs typeface="Calibri"/>
            </a:rPr>
            <a:t>Settings</a:t>
          </a:r>
        </a:p>
        <a:p>
          <a:pPr algn="l" rtl="0">
            <a:defRPr sz="1000"/>
          </a:pPr>
          <a:r>
            <a:rPr lang="en-US" sz="1200" b="0" i="0" strike="noStrike">
              <a:solidFill>
                <a:srgbClr val="000000"/>
              </a:solidFill>
              <a:latin typeface="Calibri"/>
              <a:ea typeface="Calibri"/>
              <a:cs typeface="Calibri"/>
            </a:rPr>
            <a:t>In this workbook, most thermometers are P-sensitive and most barometers are T-sensitive. Two equations can be solved simultaneously to arrive at P and T, which is accomplished here by using the output of one model as input for another. To work, you must make certain</a:t>
          </a:r>
          <a:r>
            <a:rPr lang="en-US" sz="1200" b="0" i="0" strike="noStrike" baseline="0">
              <a:solidFill>
                <a:srgbClr val="000000"/>
              </a:solidFill>
              <a:latin typeface="Calibri"/>
              <a:ea typeface="Calibri"/>
              <a:cs typeface="Calibri"/>
            </a:rPr>
            <a:t> </a:t>
          </a:r>
          <a:r>
            <a:rPr lang="en-US" sz="1200" b="0" i="0" strike="noStrike">
              <a:solidFill>
                <a:srgbClr val="000000"/>
              </a:solidFill>
              <a:latin typeface="Calibri"/>
              <a:ea typeface="Calibri"/>
              <a:cs typeface="Calibri"/>
            </a:rPr>
            <a:t>that “Iterative” calculations </a:t>
          </a:r>
          <a:r>
            <a:rPr lang="en-US" sz="1200" b="0" i="0" strike="noStrike">
              <a:solidFill>
                <a:srgbClr val="000000"/>
              </a:solidFill>
              <a:latin typeface="+mn-lt"/>
              <a:ea typeface="Calibri"/>
              <a:cs typeface="Calibri"/>
            </a:rPr>
            <a:t>are allowed </a:t>
          </a:r>
          <a:r>
            <a:rPr lang="en-US" sz="1200" b="0" i="0">
              <a:solidFill>
                <a:schemeClr val="dk1"/>
              </a:solidFill>
              <a:effectLst/>
              <a:latin typeface="+mn-lt"/>
              <a:ea typeface="+mn-ea"/>
              <a:cs typeface="+mn-cs"/>
            </a:rPr>
            <a:t>Excel – Preferences – Calculations</a:t>
          </a:r>
          <a:r>
            <a:rPr lang="en-US" sz="1200" b="0" i="0" strike="noStrike">
              <a:solidFill>
                <a:srgbClr val="000000"/>
              </a:solidFill>
              <a:latin typeface="+mn-lt"/>
              <a:ea typeface="Calibri"/>
              <a:cs typeface="Calibri"/>
            </a:rPr>
            <a:t>, otherwise </a:t>
          </a:r>
          <a:r>
            <a:rPr lang="en-US" sz="1200" b="0" i="0" strike="noStrike">
              <a:solidFill>
                <a:srgbClr val="000000"/>
              </a:solidFill>
              <a:latin typeface="Calibri"/>
              <a:ea typeface="Calibri"/>
              <a:cs typeface="Calibri"/>
            </a:rPr>
            <a:t>Excel will report a “Circular reference” error. </a:t>
          </a:r>
        </a:p>
        <a:p>
          <a:pPr algn="l" rtl="0">
            <a:defRPr sz="1000"/>
          </a:pPr>
          <a:endParaRPr lang="en-US" sz="1200" b="0" i="0" strike="noStrike">
            <a:solidFill>
              <a:srgbClr val="000000"/>
            </a:solidFill>
            <a:latin typeface="Calibri"/>
            <a:ea typeface="Calibri"/>
            <a:cs typeface="Calibri"/>
          </a:endParaRPr>
        </a:p>
        <a:p>
          <a:pPr algn="l" rtl="0">
            <a:defRPr sz="1000"/>
          </a:pPr>
          <a:r>
            <a:rPr lang="en-US" sz="1200" b="0" i="0" u="sng" strike="noStrike">
              <a:solidFill>
                <a:srgbClr val="000000"/>
              </a:solidFill>
              <a:latin typeface="Calibri"/>
              <a:ea typeface="Calibri"/>
              <a:cs typeface="Calibri"/>
            </a:rPr>
            <a:t>P-T calculations</a:t>
          </a:r>
        </a:p>
        <a:p>
          <a:pPr algn="l" rtl="0">
            <a:defRPr sz="1000"/>
          </a:pPr>
          <a:r>
            <a:rPr lang="en-US" sz="1200" b="0" i="0" strike="noStrike">
              <a:solidFill>
                <a:srgbClr val="000000"/>
              </a:solidFill>
              <a:latin typeface="Calibri"/>
              <a:ea typeface="Calibri"/>
              <a:cs typeface="Calibri"/>
            </a:rPr>
            <a:t>Columns</a:t>
          </a:r>
          <a:r>
            <a:rPr lang="en-US" sz="1200" b="0" i="0" strike="noStrike" baseline="0">
              <a:solidFill>
                <a:srgbClr val="000000"/>
              </a:solidFill>
              <a:latin typeface="Calibri"/>
              <a:ea typeface="Calibri"/>
              <a:cs typeface="Calibri"/>
            </a:rPr>
            <a:t> AF and AG provide P-T estimates using the new barometer of Neave and Putirka (2017), paired with Eqn. 33, a thermometer from Putirka (2008). </a:t>
          </a:r>
          <a:r>
            <a:rPr lang="en-US" sz="1200" b="0" i="0" strike="noStrike">
              <a:solidFill>
                <a:srgbClr val="000000"/>
              </a:solidFill>
              <a:latin typeface="Calibri"/>
              <a:ea typeface="Calibri"/>
              <a:cs typeface="Calibri"/>
            </a:rPr>
            <a:t>Other results, using earlier-calibrated</a:t>
          </a:r>
          <a:r>
            <a:rPr lang="en-US" sz="1200" b="0" i="0" strike="noStrike" baseline="0">
              <a:solidFill>
                <a:srgbClr val="000000"/>
              </a:solidFill>
              <a:latin typeface="Calibri"/>
              <a:ea typeface="Calibri"/>
              <a:cs typeface="Calibri"/>
            </a:rPr>
            <a:t> models, are shown in columns AV-BJ. </a:t>
          </a:r>
          <a:r>
            <a:rPr lang="en-US" sz="1200" b="0" i="0" strike="noStrike">
              <a:solidFill>
                <a:srgbClr val="000000"/>
              </a:solidFill>
              <a:latin typeface="Calibri"/>
              <a:ea typeface="Calibri"/>
              <a:cs typeface="Calibri"/>
            </a:rPr>
            <a:t>Default settings here,</a:t>
          </a:r>
          <a:r>
            <a:rPr lang="en-US" sz="1200" b="0" i="0" strike="noStrike" baseline="0">
              <a:solidFill>
                <a:srgbClr val="000000"/>
              </a:solidFill>
              <a:latin typeface="Calibri"/>
              <a:ea typeface="Calibri"/>
              <a:cs typeface="Calibri"/>
            </a:rPr>
            <a:t> are</a:t>
          </a:r>
          <a:r>
            <a:rPr lang="en-US" sz="1200" b="0" i="0" strike="noStrike">
              <a:solidFill>
                <a:srgbClr val="000000"/>
              </a:solidFill>
              <a:latin typeface="Calibri"/>
              <a:ea typeface="Calibri"/>
              <a:cs typeface="Calibri"/>
            </a:rPr>
            <a:t> that the models from Putirka</a:t>
          </a:r>
          <a:r>
            <a:rPr lang="en-US" sz="1200" b="0" i="0" strike="noStrike" baseline="0">
              <a:solidFill>
                <a:srgbClr val="000000"/>
              </a:solidFill>
              <a:latin typeface="Calibri"/>
              <a:ea typeface="Calibri"/>
              <a:cs typeface="Calibri"/>
            </a:rPr>
            <a:t> et a (1996) and from Putirka et al. (2003) are solved as two separate sets of P-T estimates. There is no inherant problem with mixing thermometers and barometers. </a:t>
          </a:r>
          <a:endParaRPr lang="en-US" sz="1200" b="0" i="0" strike="noStrike">
            <a:solidFill>
              <a:srgbClr val="000000"/>
            </a:solidFill>
            <a:latin typeface="Calibri"/>
            <a:ea typeface="Calibri"/>
            <a:cs typeface="Calibri"/>
          </a:endParaRPr>
        </a:p>
        <a:p>
          <a:pPr algn="l" rtl="0">
            <a:defRPr sz="1000"/>
          </a:pPr>
          <a:endParaRPr lang="en-US" sz="1200" b="0" i="0" strike="noStrike">
            <a:solidFill>
              <a:srgbClr val="000000"/>
            </a:solidFill>
            <a:latin typeface="Calibri"/>
            <a:ea typeface="Calibri"/>
            <a:cs typeface="Calibri"/>
          </a:endParaRPr>
        </a:p>
        <a:p>
          <a:pPr algn="l" rtl="0">
            <a:defRPr sz="1000"/>
          </a:pPr>
          <a:r>
            <a:rPr lang="en-US" sz="1200" b="0" i="0" strike="noStrike">
              <a:solidFill>
                <a:srgbClr val="000000"/>
              </a:solidFill>
              <a:latin typeface="Calibri"/>
              <a:ea typeface="Calibri"/>
              <a:cs typeface="Calibri"/>
            </a:rPr>
            <a:t>If you would rather solve two other equations simultaneously, then change</a:t>
          </a:r>
          <a:r>
            <a:rPr lang="en-US" sz="1200" b="0" i="0" strike="noStrike" baseline="0">
              <a:solidFill>
                <a:srgbClr val="000000"/>
              </a:solidFill>
              <a:latin typeface="Calibri"/>
              <a:ea typeface="Calibri"/>
              <a:cs typeface="Calibri"/>
            </a:rPr>
            <a:t> the cell references to any of the models as appropriate</a:t>
          </a:r>
          <a:r>
            <a:rPr lang="en-US" sz="1200" b="0" i="0" strike="noStrike">
              <a:solidFill>
                <a:srgbClr val="000000"/>
              </a:solidFill>
              <a:latin typeface="Calibri"/>
              <a:ea typeface="Calibri"/>
              <a:cs typeface="Calibri"/>
            </a:rPr>
            <a:t>.</a:t>
          </a:r>
        </a:p>
        <a:p>
          <a:pPr algn="l" rtl="0">
            <a:defRPr sz="1000"/>
          </a:pPr>
          <a:endParaRPr lang="en-US" sz="1200" b="0" i="0" strike="noStrike">
            <a:solidFill>
              <a:srgbClr val="000000"/>
            </a:solidFill>
            <a:latin typeface="Calibri"/>
            <a:ea typeface="Calibri"/>
            <a:cs typeface="Calibri"/>
          </a:endParaRPr>
        </a:p>
        <a:p>
          <a:pPr algn="l" rtl="0">
            <a:defRPr sz="1000"/>
          </a:pPr>
          <a:r>
            <a:rPr lang="en-US" sz="1200" b="0" i="0" u="sng" strike="noStrike">
              <a:solidFill>
                <a:srgbClr val="000000"/>
              </a:solidFill>
              <a:latin typeface="Calibri"/>
              <a:ea typeface="Calibri"/>
              <a:cs typeface="Calibri"/>
            </a:rPr>
            <a:t>Tests for equilibrium</a:t>
          </a:r>
        </a:p>
        <a:p>
          <a:pPr algn="l" rtl="0">
            <a:defRPr sz="1000"/>
          </a:pPr>
          <a:r>
            <a:rPr lang="en-US" sz="1200" b="0" i="0" strike="noStrike">
              <a:solidFill>
                <a:srgbClr val="000000"/>
              </a:solidFill>
              <a:latin typeface="Calibri"/>
              <a:ea typeface="Calibri"/>
              <a:cs typeface="Calibri"/>
            </a:rPr>
            <a:t>1) </a:t>
          </a:r>
          <a:r>
            <a:rPr lang="en-US" sz="1200" b="0" i="0" u="sng" strike="noStrike">
              <a:solidFill>
                <a:srgbClr val="000000"/>
              </a:solidFill>
              <a:latin typeface="Calibri"/>
              <a:ea typeface="Calibri"/>
              <a:cs typeface="Calibri"/>
            </a:rPr>
            <a:t>The best test is to compare T or P estimates from independent equilibria</a:t>
          </a:r>
          <a:r>
            <a:rPr lang="en-US" sz="1200" b="0" i="0" u="none" strike="noStrike">
              <a:solidFill>
                <a:srgbClr val="000000"/>
              </a:solidFill>
              <a:latin typeface="Calibri"/>
              <a:ea typeface="Calibri"/>
              <a:cs typeface="Calibri"/>
            </a:rPr>
            <a:t>.</a:t>
          </a:r>
          <a:r>
            <a:rPr lang="en-US" sz="1200" b="0" i="0" u="none" strike="noStrike" baseline="0">
              <a:solidFill>
                <a:srgbClr val="000000"/>
              </a:solidFill>
              <a:latin typeface="Calibri"/>
              <a:ea typeface="Calibri"/>
              <a:cs typeface="Calibri"/>
            </a:rPr>
            <a:t> I</a:t>
          </a:r>
          <a:r>
            <a:rPr lang="en-US" sz="1200" b="0" i="0" strike="noStrike">
              <a:solidFill>
                <a:srgbClr val="000000"/>
              </a:solidFill>
              <a:latin typeface="Calibri"/>
              <a:ea typeface="Calibri"/>
              <a:cs typeface="Calibri"/>
            </a:rPr>
            <a:t>f such T and/or P estimates are within, say 1 standard deviation, chances are good that that the estimates are valid. Having said that, oftentimes such calculations are not possible. And even when they are, it is a good idea to test whether the phases in question are in equilibrium. </a:t>
          </a:r>
        </a:p>
        <a:p>
          <a:pPr algn="l" rtl="0">
            <a:defRPr sz="1000"/>
          </a:pPr>
          <a:endParaRPr lang="en-US" sz="1200" b="0" i="0" strike="noStrike">
            <a:solidFill>
              <a:srgbClr val="000000"/>
            </a:solidFill>
            <a:latin typeface="Calibri"/>
            <a:ea typeface="Calibri"/>
            <a:cs typeface="Calibri"/>
          </a:endParaRPr>
        </a:p>
        <a:p>
          <a:pPr algn="l" rtl="0">
            <a:defRPr sz="1000"/>
          </a:pPr>
          <a:r>
            <a:rPr lang="en-US" sz="1200" b="0" i="0" strike="noStrike">
              <a:solidFill>
                <a:srgbClr val="000000"/>
              </a:solidFill>
              <a:latin typeface="Calibri"/>
              <a:ea typeface="Calibri"/>
              <a:cs typeface="Calibri"/>
            </a:rPr>
            <a:t>2</a:t>
          </a:r>
          <a:r>
            <a:rPr lang="en-US" sz="1200" b="0" i="0" u="sng" strike="noStrike">
              <a:solidFill>
                <a:srgbClr val="000000"/>
              </a:solidFill>
              <a:latin typeface="Calibri"/>
              <a:ea typeface="Calibri"/>
              <a:cs typeface="Calibri"/>
            </a:rPr>
            <a:t>)</a:t>
          </a:r>
          <a:r>
            <a:rPr lang="en-US" sz="1200" b="0" i="0" u="none" strike="noStrike">
              <a:solidFill>
                <a:srgbClr val="000000"/>
              </a:solidFill>
              <a:latin typeface="Calibri"/>
              <a:ea typeface="Calibri"/>
              <a:cs typeface="Calibri"/>
            </a:rPr>
            <a:t> </a:t>
          </a:r>
          <a:r>
            <a:rPr lang="en-US" sz="1200" b="0" i="0" u="sng" strike="noStrike">
              <a:solidFill>
                <a:srgbClr val="000000"/>
              </a:solidFill>
              <a:latin typeface="Calibri"/>
              <a:ea typeface="Calibri"/>
              <a:cs typeface="Calibri"/>
            </a:rPr>
            <a:t>The Rhodes Diagram</a:t>
          </a:r>
          <a:r>
            <a:rPr lang="en-US" sz="1200" b="0" i="0" strike="noStrike">
              <a:solidFill>
                <a:srgbClr val="000000"/>
              </a:solidFill>
              <a:latin typeface="Calibri"/>
              <a:ea typeface="Calibri"/>
              <a:cs typeface="Calibri"/>
            </a:rPr>
            <a:t>.</a:t>
          </a:r>
          <a:r>
            <a:rPr lang="en-US" sz="1200" b="0" i="0" strike="noStrike" baseline="0">
              <a:solidFill>
                <a:srgbClr val="000000"/>
              </a:solidFill>
              <a:latin typeface="Calibri"/>
              <a:ea typeface="Calibri"/>
              <a:cs typeface="Calibri"/>
            </a:rPr>
            <a:t> </a:t>
          </a:r>
          <a:r>
            <a:rPr lang="en-US" sz="1200" b="0" i="0" strike="noStrike">
              <a:solidFill>
                <a:srgbClr val="000000"/>
              </a:solidFill>
              <a:latin typeface="Calibri"/>
              <a:ea typeface="Calibri"/>
              <a:cs typeface="Calibri"/>
            </a:rPr>
            <a:t>Tests for equilibrium between clinopyroxene and a nominal coexisting liquid can be made by comparing observed and predicted valuesof Fe and Mg contents,</a:t>
          </a:r>
          <a:r>
            <a:rPr lang="en-US" sz="1200" b="0" i="0" strike="noStrike" baseline="0">
              <a:solidFill>
                <a:srgbClr val="000000"/>
              </a:solidFill>
              <a:latin typeface="Calibri"/>
              <a:ea typeface="Calibri"/>
              <a:cs typeface="Calibri"/>
            </a:rPr>
            <a:t> illustrated as </a:t>
          </a:r>
          <a:r>
            <a:rPr lang="en-US" sz="1200" b="0" i="0" strike="noStrike">
              <a:solidFill>
                <a:srgbClr val="000000"/>
              </a:solidFill>
              <a:latin typeface="Calibri"/>
              <a:ea typeface="Calibri"/>
              <a:cs typeface="Calibri"/>
            </a:rPr>
            <a:t>a Fe-Mg exchange coefficient, or K</a:t>
          </a:r>
          <a:r>
            <a:rPr lang="en-US" sz="1200" b="0" i="0" strike="noStrike" baseline="-25000">
              <a:solidFill>
                <a:srgbClr val="000000"/>
              </a:solidFill>
              <a:latin typeface="Calibri"/>
              <a:ea typeface="Calibri"/>
              <a:cs typeface="Calibri"/>
            </a:rPr>
            <a:t>D</a:t>
          </a:r>
          <a:r>
            <a:rPr lang="en-US" sz="1200" b="0" i="0" strike="noStrike">
              <a:solidFill>
                <a:srgbClr val="000000"/>
              </a:solidFill>
              <a:latin typeface="Calibri"/>
              <a:ea typeface="Calibri"/>
              <a:cs typeface="Calibri"/>
            </a:rPr>
            <a:t>(Fe-Mg)</a:t>
          </a:r>
          <a:r>
            <a:rPr lang="en-US" sz="1200" b="0" i="0" strike="noStrike" baseline="30000">
              <a:solidFill>
                <a:srgbClr val="000000"/>
              </a:solidFill>
              <a:latin typeface="Calibri"/>
              <a:ea typeface="Calibri"/>
              <a:cs typeface="Calibri"/>
            </a:rPr>
            <a:t>cpx-liq</a:t>
          </a:r>
          <a:r>
            <a:rPr lang="en-US" sz="1200" b="0" i="0" strike="noStrike">
              <a:solidFill>
                <a:srgbClr val="000000"/>
              </a:solidFill>
              <a:latin typeface="Calibri"/>
              <a:ea typeface="Calibri"/>
              <a:cs typeface="Calibri"/>
            </a:rPr>
            <a:t>, which should be close</a:t>
          </a:r>
          <a:r>
            <a:rPr lang="en-US" sz="1200" b="0" i="0" strike="noStrike" baseline="0">
              <a:solidFill>
                <a:srgbClr val="000000"/>
              </a:solidFill>
              <a:latin typeface="Calibri"/>
              <a:ea typeface="Calibri"/>
              <a:cs typeface="Calibri"/>
            </a:rPr>
            <a:t> to</a:t>
          </a:r>
          <a:r>
            <a:rPr lang="en-US" sz="1200" b="0" i="0" strike="noStrike">
              <a:solidFill>
                <a:srgbClr val="000000"/>
              </a:solidFill>
              <a:latin typeface="Calibri"/>
              <a:ea typeface="Calibri"/>
              <a:cs typeface="Calibri"/>
            </a:rPr>
            <a:t> 0.27±0.03. To make this test visiual, we use the Rhodes diagram (see chart titled "Rhodes Diag"). This is based on a comparison of Mg# for the liq and Cpx phases, and the curves shown in this diagram assume an</a:t>
          </a:r>
          <a:r>
            <a:rPr lang="en-US" sz="1200" b="0" i="0" strike="noStrike" baseline="0">
              <a:solidFill>
                <a:srgbClr val="000000"/>
              </a:solidFill>
              <a:latin typeface="Calibri"/>
              <a:ea typeface="Calibri"/>
              <a:cs typeface="Calibri"/>
            </a:rPr>
            <a:t> Fe-Mg eschange coefficient of 0.27 (see cell C4 in Rhodes Diag Calcs sheet). </a:t>
          </a:r>
          <a:r>
            <a:rPr lang="en-US" sz="1200" b="0" i="0" strike="noStrike">
              <a:solidFill>
                <a:srgbClr val="000000"/>
              </a:solidFill>
              <a:latin typeface="Calibri"/>
              <a:ea typeface="Calibri"/>
              <a:cs typeface="Calibri"/>
            </a:rPr>
            <a:t>In column I in the Cpx and Input</a:t>
          </a:r>
          <a:r>
            <a:rPr lang="en-US" sz="1200" b="0" i="0" strike="noStrike" baseline="0">
              <a:solidFill>
                <a:srgbClr val="000000"/>
              </a:solidFill>
              <a:latin typeface="Calibri"/>
              <a:ea typeface="Calibri"/>
              <a:cs typeface="Calibri"/>
            </a:rPr>
            <a:t> Models sheet</a:t>
          </a:r>
          <a:r>
            <a:rPr lang="en-US" sz="1200" b="0" i="0" strike="noStrike">
              <a:solidFill>
                <a:srgbClr val="000000"/>
              </a:solidFill>
              <a:latin typeface="Calibri"/>
              <a:ea typeface="Calibri"/>
              <a:cs typeface="Calibri"/>
            </a:rPr>
            <a:t>, Fe is entered as FeOt for total FeO; this is best in most cases, since all experimental data are treatd this way (even if at high oxygen fugacity).</a:t>
          </a:r>
          <a:r>
            <a:rPr lang="en-US" sz="1200" b="0" i="0" strike="noStrike" baseline="0">
              <a:solidFill>
                <a:srgbClr val="000000"/>
              </a:solidFill>
              <a:latin typeface="Calibri"/>
              <a:ea typeface="Calibri"/>
              <a:cs typeface="Calibri"/>
            </a:rPr>
            <a:t> I</a:t>
          </a:r>
          <a:r>
            <a:rPr lang="en-US" sz="1200" b="0" i="0" strike="noStrike">
              <a:solidFill>
                <a:srgbClr val="000000"/>
              </a:solidFill>
              <a:latin typeface="Calibri"/>
              <a:ea typeface="Calibri"/>
              <a:cs typeface="Calibri"/>
            </a:rPr>
            <a:t>f Fe3+ is significant, then the coefficient in cell G8 could be less than 1. Independent</a:t>
          </a:r>
          <a:r>
            <a:rPr lang="en-US" sz="1200" b="0" i="0" strike="noStrike" baseline="0">
              <a:solidFill>
                <a:srgbClr val="000000"/>
              </a:solidFill>
              <a:latin typeface="Calibri"/>
              <a:ea typeface="Calibri"/>
              <a:cs typeface="Calibri"/>
            </a:rPr>
            <a:t> of Fe3+ contents, if a liquid Fe content is expressed as Fe2O3, partly or wholly,</a:t>
          </a:r>
          <a:r>
            <a:rPr lang="en-US" sz="1200" b="0" i="0" strike="noStrike">
              <a:solidFill>
                <a:srgbClr val="000000"/>
              </a:solidFill>
              <a:latin typeface="Calibri"/>
              <a:ea typeface="Calibri"/>
              <a:cs typeface="Calibri"/>
            </a:rPr>
            <a:t> it is much easy</a:t>
          </a:r>
          <a:r>
            <a:rPr lang="en-US" sz="1200" b="0" i="0" strike="noStrike" baseline="0">
              <a:solidFill>
                <a:srgbClr val="000000"/>
              </a:solidFill>
              <a:latin typeface="Calibri"/>
              <a:ea typeface="Calibri"/>
              <a:cs typeface="Calibri"/>
            </a:rPr>
            <a:t> </a:t>
          </a:r>
          <a:r>
            <a:rPr lang="en-US" sz="1200" b="0" i="0" strike="noStrike">
              <a:solidFill>
                <a:srgbClr val="000000"/>
              </a:solidFill>
              <a:latin typeface="Calibri"/>
              <a:ea typeface="Calibri"/>
              <a:cs typeface="Calibri"/>
            </a:rPr>
            <a:t>to make the correction on the weight % side</a:t>
          </a:r>
          <a:r>
            <a:rPr lang="en-US" sz="1200" b="0" i="0" strike="noStrike" baseline="0">
              <a:solidFill>
                <a:srgbClr val="000000"/>
              </a:solidFill>
              <a:latin typeface="Calibri"/>
              <a:ea typeface="Calibri"/>
              <a:cs typeface="Calibri"/>
            </a:rPr>
            <a:t> using:</a:t>
          </a:r>
          <a:r>
            <a:rPr lang="en-US" sz="1200" b="0" i="0" strike="noStrike">
              <a:solidFill>
                <a:srgbClr val="000000"/>
              </a:solidFill>
              <a:latin typeface="Calibri"/>
              <a:ea typeface="Calibri"/>
              <a:cs typeface="Calibri"/>
            </a:rPr>
            <a:t> FeO=x(Fe2O3t), where x 0.8998 (I use 0.9).</a:t>
          </a:r>
          <a:r>
            <a:rPr lang="en-US" sz="1200" b="0" i="0" strike="noStrike" baseline="0">
              <a:solidFill>
                <a:srgbClr val="000000"/>
              </a:solidFill>
              <a:latin typeface="Calibri"/>
              <a:ea typeface="Calibri"/>
              <a:cs typeface="Calibri"/>
            </a:rPr>
            <a:t> If Fe is reported as both FeO and Fe2O3, then FeOt  = FeO + 0.9*Fe2O3. </a:t>
          </a:r>
          <a:endParaRPr lang="en-US" sz="1200" b="0" i="0" strike="noStrike">
            <a:solidFill>
              <a:srgbClr val="000000"/>
            </a:solidFill>
            <a:latin typeface="Calibri"/>
            <a:ea typeface="Calibri"/>
            <a:cs typeface="Calibri"/>
          </a:endParaRPr>
        </a:p>
        <a:p>
          <a:pPr algn="l" rtl="0">
            <a:defRPr sz="1000"/>
          </a:pPr>
          <a:endParaRPr lang="en-US" sz="1200" b="0" i="0" strike="noStrike">
            <a:solidFill>
              <a:srgbClr val="000000"/>
            </a:solidFill>
            <a:latin typeface="Calibri"/>
            <a:ea typeface="Calibri"/>
            <a:cs typeface="Calibri"/>
          </a:endParaRPr>
        </a:p>
        <a:p>
          <a:pPr algn="l" rtl="0">
            <a:defRPr sz="1000"/>
          </a:pPr>
          <a:r>
            <a:rPr lang="en-US" sz="1200" b="0" i="0" strike="noStrike">
              <a:solidFill>
                <a:srgbClr val="000000"/>
              </a:solidFill>
              <a:latin typeface="Calibri"/>
              <a:ea typeface="Calibri"/>
              <a:cs typeface="Calibri"/>
            </a:rPr>
            <a:t>3) </a:t>
          </a:r>
          <a:r>
            <a:rPr lang="en-US" sz="1200" b="0" i="0" u="sng" strike="noStrike">
              <a:solidFill>
                <a:srgbClr val="000000"/>
              </a:solidFill>
              <a:latin typeface="Calibri"/>
              <a:ea typeface="Calibri"/>
              <a:cs typeface="Calibri"/>
            </a:rPr>
            <a:t>Comparing predicted and calculated mineral components</a:t>
          </a:r>
          <a:r>
            <a:rPr lang="en-US" sz="1200" b="0" i="0" u="none" strike="noStrike">
              <a:solidFill>
                <a:srgbClr val="000000"/>
              </a:solidFill>
              <a:latin typeface="Calibri"/>
              <a:ea typeface="Calibri"/>
              <a:cs typeface="Calibri"/>
            </a:rPr>
            <a:t>. </a:t>
          </a:r>
          <a:r>
            <a:rPr lang="en-US" sz="1200" b="0" i="0" strike="noStrike">
              <a:solidFill>
                <a:srgbClr val="000000"/>
              </a:solidFill>
              <a:latin typeface="Calibri"/>
              <a:ea typeface="Calibri"/>
              <a:cs typeface="Calibri"/>
            </a:rPr>
            <a:t>Another, and perhaps better, test is to compare predicated and observed values for the clinopyroxene components (i.e., compare columns BL-BR with BT-BC (see the chart "Test of Equilibrium" for a graphical comparison). In theory,</a:t>
          </a:r>
          <a:r>
            <a:rPr lang="en-US" sz="1200" b="0" i="0" strike="noStrike" baseline="0">
              <a:solidFill>
                <a:srgbClr val="000000"/>
              </a:solidFill>
              <a:latin typeface="Calibri"/>
              <a:ea typeface="Calibri"/>
              <a:cs typeface="Calibri"/>
            </a:rPr>
            <a:t> if the system is equilibrated, the sum of calculated components in column BZ should equal 1 (but this sum, and its closeness to 1.0, does not seem to be a secure test of equilibrium).</a:t>
          </a:r>
          <a:r>
            <a:rPr lang="en-US" sz="1200" b="0" i="0" strike="noStrike">
              <a:solidFill>
                <a:srgbClr val="000000"/>
              </a:solidFill>
              <a:latin typeface="Calibri"/>
              <a:ea typeface="Calibri"/>
              <a:cs typeface="Calibri"/>
            </a:rPr>
            <a:t> For experimental data, various quantities that can be used as tests for equilibrium appear to be correlated; thus, if equilibrium or disequilibrium is indicated by one parameter, other parameters often (though not always) follow. However, in the RiMG volume, I show some instances for experimental data where the comparison of clinopyroxene components provides a more certain test than for K</a:t>
          </a:r>
          <a:r>
            <a:rPr lang="en-US" sz="1200" b="0" i="0" strike="noStrike" baseline="-25000">
              <a:solidFill>
                <a:srgbClr val="000000"/>
              </a:solidFill>
              <a:latin typeface="Calibri"/>
              <a:ea typeface="Calibri"/>
              <a:cs typeface="Calibri"/>
            </a:rPr>
            <a:t>D</a:t>
          </a:r>
          <a:r>
            <a:rPr lang="en-US" sz="1200" b="0" i="0" strike="noStrike">
              <a:solidFill>
                <a:srgbClr val="000000"/>
              </a:solidFill>
              <a:latin typeface="Calibri"/>
              <a:ea typeface="Calibri"/>
              <a:cs typeface="Calibri"/>
            </a:rPr>
            <a:t>(Fe-Mg)</a:t>
          </a:r>
          <a:r>
            <a:rPr lang="en-US" sz="1200" b="0" i="0" strike="noStrike" baseline="30000">
              <a:solidFill>
                <a:srgbClr val="000000"/>
              </a:solidFill>
              <a:latin typeface="Calibri"/>
              <a:ea typeface="Calibri"/>
              <a:cs typeface="Calibri"/>
            </a:rPr>
            <a:t>cpx-liq</a:t>
          </a:r>
          <a:r>
            <a:rPr lang="en-US" sz="1200" b="0" i="0" strike="noStrike">
              <a:solidFill>
                <a:srgbClr val="000000"/>
              </a:solidFill>
              <a:latin typeface="Calibri"/>
              <a:ea typeface="Calibri"/>
              <a:cs typeface="Calibri"/>
            </a:rPr>
            <a:t>.</a:t>
          </a:r>
        </a:p>
        <a:p>
          <a:pPr algn="l" rtl="0">
            <a:defRPr sz="1000"/>
          </a:pPr>
          <a:endParaRPr lang="en-US" sz="1200" b="0" i="0" strike="noStrike">
            <a:solidFill>
              <a:srgbClr val="000000"/>
            </a:solidFill>
            <a:latin typeface="Calibri"/>
            <a:ea typeface="Calibri"/>
            <a:cs typeface="Calibri"/>
          </a:endParaRPr>
        </a:p>
        <a:p>
          <a:pPr algn="l" rtl="0">
            <a:defRPr sz="1000"/>
          </a:pPr>
          <a:r>
            <a:rPr lang="en-US" sz="1200" b="0" i="0" strike="noStrike">
              <a:solidFill>
                <a:srgbClr val="000000"/>
              </a:solidFill>
              <a:latin typeface="+mn-lt"/>
              <a:ea typeface="Calibri"/>
              <a:cs typeface="Calibri"/>
            </a:rPr>
            <a:t>American Mineralogist: April 2017 Deposit AM-17-45968</a:t>
          </a:r>
        </a:p>
        <a:p>
          <a:pPr algn="l" rtl="0">
            <a:defRPr sz="1000"/>
          </a:pPr>
          <a:r>
            <a:rPr lang="en-US" sz="1200" b="0" i="0" strike="noStrike">
              <a:solidFill>
                <a:srgbClr val="000000"/>
              </a:solidFill>
              <a:latin typeface="+mn-lt"/>
              <a:ea typeface="Calibri"/>
              <a:cs typeface="Calibri"/>
            </a:rPr>
            <a:t>NEAVE AND PUTIRKA: CLINOPYROXENE-LIQUID BAROMETRY APPLIED TO ICELANDIC BASALTS</a:t>
          </a:r>
        </a:p>
        <a:p>
          <a:pPr algn="l" rtl="0">
            <a:defRPr sz="1000"/>
          </a:pPr>
          <a:endParaRPr lang="en-US" sz="1200" b="0" i="0" strike="noStrike">
            <a:solidFill>
              <a:srgbClr val="000000"/>
            </a:solidFill>
            <a:latin typeface="Calibri"/>
            <a:ea typeface="Calibri"/>
            <a:cs typeface="Calibri"/>
          </a:endParaRPr>
        </a:p>
      </xdr:txBody>
    </xdr:sp>
    <xdr:clientData/>
  </xdr:twoCellAnchor>
</xdr:wsDr>
</file>

<file path=xl/drawings/drawing2.xml><?xml version="1.0" encoding="utf-8"?>
<xdr:wsDr xmlns:xdr="http://schemas.openxmlformats.org/drawingml/2006/spreadsheetDrawing" xmlns:a="http://schemas.openxmlformats.org/drawingml/2006/main">
  <xdr:absoluteAnchor>
    <xdr:pos x="0" y="0"/>
    <xdr:ext cx="8667750" cy="6296025"/>
    <xdr:graphicFrame macro="">
      <xdr:nvGraphicFramePr>
        <xdr:cNvPr id="2" name="Chart 1">
          <a:extLst>
            <a:ext uri="{FF2B5EF4-FFF2-40B4-BE49-F238E27FC236}">
              <a16:creationId xmlns:a16="http://schemas.microsoft.com/office/drawing/2014/main" xmlns="" id="{00000000-0008-0000-02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6294120" cy="8122920"/>
    <xdr:graphicFrame macro="">
      <xdr:nvGraphicFramePr>
        <xdr:cNvPr id="2" name="Chart 1">
          <a:extLst>
            <a:ext uri="{FF2B5EF4-FFF2-40B4-BE49-F238E27FC236}">
              <a16:creationId xmlns:a16="http://schemas.microsoft.com/office/drawing/2014/main" xmlns="" id="{00000000-0008-0000-03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xdr:wsDr xmlns:xdr="http://schemas.openxmlformats.org/drawingml/2006/spreadsheetDrawing" xmlns:a="http://schemas.openxmlformats.org/drawingml/2006/main">
  <xdr:absoluteAnchor>
    <xdr:pos x="0" y="0"/>
    <xdr:ext cx="8675872" cy="6298314"/>
    <xdr:graphicFrame macro="">
      <xdr:nvGraphicFramePr>
        <xdr:cNvPr id="2" name="Chart 1">
          <a:extLst>
            <a:ext uri="{FF2B5EF4-FFF2-40B4-BE49-F238E27FC236}">
              <a16:creationId xmlns:a16="http://schemas.microsoft.com/office/drawing/2014/main" xmlns="" id="{00000000-0008-0000-04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vmlDrawing" Target="../drawings/vmlDrawing1.vml"/><Relationship Id="rId2"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topLeftCell="A13" workbookViewId="0">
      <selection activeCell="M17" sqref="M17"/>
    </sheetView>
  </sheetViews>
  <sheetFormatPr baseColWidth="10" defaultColWidth="11" defaultRowHeight="13" x14ac:dyDescent="0"/>
  <sheetData/>
  <phoneticPr fontId="3" type="noConversion"/>
  <pageMargins left="0.75" right="0.75" top="1" bottom="1" header="0.5" footer="0.5"/>
  <pageSetup paperSize="0" orientation="portrait" horizontalDpi="4294967292" verticalDpi="4294967292"/>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M18"/>
  <sheetViews>
    <sheetView workbookViewId="0">
      <selection activeCell="D23" sqref="D23"/>
    </sheetView>
  </sheetViews>
  <sheetFormatPr baseColWidth="10" defaultColWidth="10.7109375" defaultRowHeight="13" x14ac:dyDescent="0"/>
  <cols>
    <col min="1" max="1" width="28.140625" style="43" customWidth="1"/>
    <col min="2" max="2" width="22.140625" style="43" bestFit="1" customWidth="1"/>
    <col min="3" max="3" width="12.42578125" style="3" bestFit="1" customWidth="1"/>
    <col min="4" max="4" width="12.28515625" style="3" bestFit="1" customWidth="1"/>
    <col min="5" max="5" width="11.5703125" style="3" bestFit="1" customWidth="1"/>
    <col min="6" max="17" width="10.7109375" style="3"/>
    <col min="18" max="18" width="14" style="4" customWidth="1"/>
    <col min="19" max="19" width="4.5703125" customWidth="1"/>
    <col min="20" max="29" width="10.7109375" style="3"/>
    <col min="30" max="30" width="4.5703125" style="1" customWidth="1"/>
    <col min="31" max="31" width="18.42578125" style="8" customWidth="1"/>
    <col min="32" max="32" width="16.85546875" style="8" customWidth="1"/>
    <col min="33" max="33" width="18.140625" style="8" customWidth="1"/>
    <col min="34" max="34" width="4.5703125" style="32" customWidth="1"/>
    <col min="35" max="36" width="15" style="8" customWidth="1"/>
    <col min="37" max="37" width="16.7109375" style="8" customWidth="1"/>
    <col min="38" max="39" width="15" style="8" customWidth="1"/>
    <col min="40" max="40" width="4.5703125" style="14" customWidth="1"/>
    <col min="41" max="41" width="21" style="8" customWidth="1"/>
    <col min="42" max="42" width="15" style="8" customWidth="1"/>
    <col min="43" max="43" width="15" style="1" customWidth="1"/>
    <col min="44" max="44" width="5" style="8" customWidth="1"/>
    <col min="45" max="45" width="21" style="8" customWidth="1"/>
    <col min="46" max="46" width="15" style="8" customWidth="1"/>
    <col min="47" max="47" width="18.42578125" style="8" customWidth="1"/>
    <col min="48" max="48" width="4.5703125" style="1" customWidth="1"/>
    <col min="49" max="53" width="10.7109375" style="3"/>
    <col min="54" max="54" width="4.5703125" style="3" customWidth="1"/>
    <col min="55" max="55" width="13.42578125" style="3" customWidth="1"/>
    <col min="56" max="56" width="19.7109375" style="3" customWidth="1"/>
    <col min="57" max="57" width="13.42578125" style="3" customWidth="1"/>
    <col min="58" max="58" width="4.5703125" style="3" customWidth="1"/>
    <col min="59" max="60" width="10.7109375" style="3"/>
    <col min="61" max="62" width="12.5703125" style="3" customWidth="1"/>
    <col min="63" max="63" width="10.7109375" style="3"/>
    <col min="64" max="64" width="4.5703125" style="3" customWidth="1"/>
    <col min="65" max="65" width="13.42578125" style="3" customWidth="1"/>
    <col min="66" max="66" width="4.5703125" style="3" customWidth="1"/>
    <col min="67" max="67" width="9.140625" style="3" customWidth="1"/>
    <col min="68" max="72" width="6.5703125" style="3" customWidth="1"/>
    <col min="73" max="73" width="9.140625" style="3" customWidth="1"/>
    <col min="74" max="74" width="6.5703125" style="3" customWidth="1"/>
    <col min="75" max="75" width="4.5703125" style="3" customWidth="1"/>
    <col min="76" max="76" width="7.7109375" style="3" customWidth="1"/>
    <col min="77" max="77" width="8" style="3" customWidth="1"/>
    <col min="78" max="78" width="7.42578125" style="3" customWidth="1"/>
    <col min="79" max="79" width="7.28515625" style="3" customWidth="1"/>
    <col min="80" max="80" width="7.5703125" style="3" customWidth="1"/>
    <col min="81" max="81" width="8" style="3" customWidth="1"/>
    <col min="82" max="82" width="7.28515625" style="3" customWidth="1"/>
    <col min="83" max="83" width="9.5703125" style="3" bestFit="1" customWidth="1"/>
    <col min="84" max="84" width="4.5703125" style="3" customWidth="1"/>
    <col min="85" max="85" width="10.7109375" style="1"/>
    <col min="86" max="86" width="15" style="1" customWidth="1"/>
    <col min="87" max="87" width="12.28515625" style="1" customWidth="1"/>
    <col min="88" max="89" width="9.85546875" style="1" customWidth="1"/>
    <col min="90" max="90" width="4.5703125" style="1" customWidth="1"/>
    <col min="91" max="91" width="15.28515625" style="1" customWidth="1"/>
    <col min="92" max="92" width="19.42578125" style="1" customWidth="1"/>
    <col min="93" max="93" width="18" style="1" customWidth="1"/>
    <col min="94" max="94" width="5" style="1" customWidth="1"/>
    <col min="95" max="106" width="10.7109375" style="1"/>
    <col min="107" max="107" width="3" style="1" customWidth="1"/>
    <col min="108" max="118" width="10.7109375" style="1"/>
    <col min="119" max="119" width="3.5703125" style="1" customWidth="1"/>
    <col min="120" max="120" width="6.85546875" style="1" customWidth="1"/>
    <col min="121" max="128" width="7.7109375" style="1" customWidth="1"/>
    <col min="129" max="129" width="5.140625" style="1" customWidth="1"/>
    <col min="130" max="130" width="7.7109375" style="1" customWidth="1"/>
    <col min="131" max="131" width="4.42578125" style="1" customWidth="1"/>
    <col min="132" max="132" width="2.42578125" style="1" customWidth="1"/>
    <col min="133" max="142" width="10.7109375" style="1"/>
    <col min="143" max="143" width="5.85546875" style="1" customWidth="1"/>
    <col min="144" max="144" width="17" style="1" customWidth="1"/>
    <col min="145" max="145" width="2.42578125" style="1" customWidth="1"/>
    <col min="146" max="149" width="10.7109375" style="1"/>
    <col min="150" max="150" width="7" style="1" customWidth="1"/>
    <col min="151" max="155" width="10.7109375" style="1"/>
    <col min="156" max="156" width="9" style="1" customWidth="1"/>
    <col min="157" max="157" width="10.7109375" style="1"/>
    <col min="158" max="158" width="6" style="1" customWidth="1"/>
    <col min="159" max="160" width="14.85546875" style="1" customWidth="1"/>
    <col min="161" max="164" width="10.7109375" style="1"/>
    <col min="165" max="165" width="11.28515625" style="1" customWidth="1"/>
    <col min="166" max="166" width="10.7109375" style="1"/>
    <col min="167" max="167" width="9.140625" style="1" customWidth="1"/>
    <col min="168" max="168" width="10.85546875" style="1" customWidth="1"/>
    <col min="169" max="169" width="9.140625" style="1" customWidth="1"/>
    <col min="170" max="170" width="9.5703125" style="1" customWidth="1"/>
    <col min="171" max="172" width="9.140625" style="1" customWidth="1"/>
    <col min="173" max="177" width="10.7109375" style="1"/>
    <col min="178" max="178" width="21.28515625" style="1" customWidth="1"/>
    <col min="179" max="186" width="10.7109375" style="1"/>
    <col min="187" max="187" width="12.42578125" style="1" customWidth="1"/>
    <col min="188" max="201" width="10.7109375" style="1"/>
    <col min="202" max="203" width="10.5703125" style="1" customWidth="1"/>
    <col min="204" max="236" width="10.7109375" style="1"/>
    <col min="237" max="237" width="14.42578125" style="1" customWidth="1"/>
    <col min="238" max="238" width="10.7109375" style="1"/>
    <col min="239" max="239" width="13.7109375" style="1" customWidth="1"/>
    <col min="240" max="16384" width="10.7109375" style="1"/>
  </cols>
  <sheetData>
    <row r="1" spans="1:247" ht="23">
      <c r="A1" s="46" t="s">
        <v>20</v>
      </c>
      <c r="B1" s="42"/>
      <c r="C1" s="5"/>
      <c r="D1" s="5"/>
      <c r="E1" s="5"/>
      <c r="F1" s="5"/>
      <c r="AE1" s="3"/>
      <c r="AF1" s="3"/>
      <c r="AG1" s="3"/>
      <c r="AH1" s="7"/>
      <c r="AI1" s="3"/>
      <c r="AJ1" s="3"/>
      <c r="AK1" s="3"/>
      <c r="AL1" s="3"/>
      <c r="AM1" s="3"/>
      <c r="AO1" s="3"/>
      <c r="AP1" s="3"/>
      <c r="AQ1" s="3"/>
      <c r="AR1" s="3"/>
      <c r="AS1" s="3"/>
      <c r="AT1" s="3"/>
      <c r="AU1" s="3"/>
      <c r="BE1"/>
      <c r="BF1"/>
      <c r="BM1"/>
      <c r="BN1" s="14"/>
    </row>
    <row r="2" spans="1:247">
      <c r="A2" s="47"/>
      <c r="B2" s="42"/>
      <c r="C2" s="5"/>
      <c r="D2" s="5"/>
      <c r="E2" s="5"/>
      <c r="F2" s="5"/>
      <c r="AE2" s="3"/>
      <c r="AF2" s="3"/>
      <c r="AG2" s="3"/>
      <c r="AH2" s="7"/>
      <c r="AI2" s="3"/>
      <c r="AJ2" s="3"/>
      <c r="AK2" s="3"/>
      <c r="AL2" s="3"/>
      <c r="AM2" s="3"/>
      <c r="AO2" s="3"/>
      <c r="AP2" s="3"/>
      <c r="AQ2" s="3"/>
      <c r="AR2" s="3"/>
      <c r="AS2" s="3"/>
      <c r="AT2" s="3"/>
      <c r="AU2" s="3"/>
      <c r="BE2"/>
      <c r="BF2"/>
      <c r="BM2"/>
      <c r="BN2" s="14"/>
      <c r="BP2" s="153" t="s">
        <v>224</v>
      </c>
      <c r="BQ2" s="9"/>
    </row>
    <row r="3" spans="1:247" ht="16">
      <c r="A3" s="113" t="s">
        <v>47</v>
      </c>
      <c r="B3" s="114"/>
      <c r="C3" s="115"/>
      <c r="D3" s="5"/>
      <c r="E3" s="6"/>
      <c r="F3" s="6"/>
      <c r="G3" s="6"/>
      <c r="H3" s="6"/>
      <c r="I3" s="6"/>
      <c r="J3" s="6"/>
      <c r="K3" s="6"/>
      <c r="L3" s="6"/>
      <c r="M3" s="6"/>
      <c r="N3" s="6"/>
      <c r="O3" s="6"/>
      <c r="P3" s="6"/>
      <c r="Q3" s="6"/>
      <c r="R3" s="41"/>
      <c r="AE3" s="3"/>
      <c r="AF3" s="3"/>
      <c r="AG3" s="15"/>
      <c r="AH3" s="63"/>
      <c r="AI3" s="3"/>
      <c r="AJ3" s="3"/>
      <c r="AK3" s="3"/>
      <c r="AL3" s="3"/>
      <c r="AM3" s="3"/>
      <c r="AO3" s="3"/>
      <c r="AP3" s="3"/>
      <c r="AQ3" s="3"/>
      <c r="AR3" s="3"/>
      <c r="AS3" s="3"/>
      <c r="AT3" s="3"/>
      <c r="AU3" s="3"/>
      <c r="BE3"/>
      <c r="BF3"/>
      <c r="BM3"/>
      <c r="BN3" s="14"/>
      <c r="BP3" s="18">
        <v>0</v>
      </c>
      <c r="BQ3" s="19">
        <f>BP3</f>
        <v>0</v>
      </c>
    </row>
    <row r="4" spans="1:247" ht="16">
      <c r="A4" s="113" t="s">
        <v>48</v>
      </c>
      <c r="B4" s="114"/>
      <c r="C4" s="115"/>
      <c r="D4" s="5"/>
      <c r="E4" s="6"/>
      <c r="F4" s="6"/>
      <c r="G4" s="6"/>
      <c r="H4" s="6"/>
      <c r="I4" s="6"/>
      <c r="J4" s="6"/>
      <c r="K4" s="6"/>
      <c r="L4" s="6"/>
      <c r="M4" s="6"/>
      <c r="N4" s="6"/>
      <c r="O4" s="6"/>
      <c r="P4" s="6"/>
      <c r="Q4" s="6"/>
      <c r="R4" s="41"/>
      <c r="AE4" s="3"/>
      <c r="AF4" s="3"/>
      <c r="AG4" s="15"/>
      <c r="AH4" s="63"/>
      <c r="AI4" s="3"/>
      <c r="AJ4" s="3"/>
      <c r="AK4" s="3"/>
      <c r="AL4" s="3"/>
      <c r="AM4" s="3"/>
      <c r="AO4" s="3"/>
      <c r="AP4" s="3"/>
      <c r="AQ4" s="3"/>
      <c r="AR4" s="3"/>
      <c r="AS4" s="3"/>
      <c r="AT4" s="3"/>
      <c r="AU4" s="3"/>
      <c r="BE4"/>
      <c r="BF4"/>
      <c r="BM4"/>
      <c r="BN4" s="14"/>
      <c r="BP4" s="18">
        <v>0.1</v>
      </c>
      <c r="BQ4" s="19">
        <f>BP4</f>
        <v>0.1</v>
      </c>
    </row>
    <row r="5" spans="1:247" ht="17" thickBot="1">
      <c r="A5" s="113"/>
      <c r="B5" s="114"/>
      <c r="C5" s="115"/>
      <c r="D5" s="5"/>
      <c r="E5" s="6"/>
      <c r="F5" s="6"/>
      <c r="G5" s="6"/>
      <c r="H5" s="6"/>
      <c r="I5" s="6"/>
      <c r="J5" s="6"/>
      <c r="K5" s="6"/>
      <c r="L5" s="6"/>
      <c r="M5" s="6"/>
      <c r="N5" s="6"/>
      <c r="O5" s="6"/>
      <c r="P5" s="6"/>
      <c r="Q5" s="6"/>
      <c r="R5" s="41"/>
      <c r="AE5" s="3"/>
      <c r="AF5" s="3"/>
      <c r="AG5" s="3"/>
      <c r="AH5" s="7"/>
      <c r="AI5" s="3"/>
      <c r="AJ5" s="3"/>
      <c r="AK5" s="3"/>
      <c r="AL5" s="3"/>
      <c r="AM5" s="3"/>
      <c r="AO5" s="3"/>
      <c r="AP5" s="3"/>
      <c r="AR5" s="3"/>
      <c r="BE5"/>
      <c r="BF5"/>
      <c r="BM5"/>
      <c r="BN5" s="14"/>
      <c r="BP5" s="20">
        <v>0.5</v>
      </c>
      <c r="BQ5" s="19">
        <f>BP5</f>
        <v>0.5</v>
      </c>
    </row>
    <row r="6" spans="1:247" ht="17" thickBot="1">
      <c r="A6" s="113" t="s">
        <v>219</v>
      </c>
      <c r="B6" s="114"/>
      <c r="C6" s="115"/>
      <c r="D6" s="5"/>
      <c r="E6" s="6"/>
      <c r="F6" s="6"/>
      <c r="G6" s="6"/>
      <c r="H6" s="6"/>
      <c r="I6" s="6"/>
      <c r="J6" s="6"/>
      <c r="K6" s="6"/>
      <c r="L6" s="6"/>
      <c r="M6" s="6"/>
      <c r="N6" s="6"/>
      <c r="O6" s="6"/>
      <c r="P6" s="6"/>
      <c r="Q6" s="6"/>
      <c r="R6" s="41"/>
      <c r="AE6" s="39"/>
      <c r="AF6" s="39"/>
      <c r="AG6" s="39"/>
      <c r="AH6" s="39"/>
      <c r="AI6" s="3"/>
      <c r="AJ6" s="3"/>
      <c r="AK6" s="3"/>
      <c r="AL6" s="3"/>
      <c r="AM6" s="3"/>
      <c r="AO6" s="3"/>
      <c r="AP6" s="3"/>
      <c r="AR6" s="3"/>
      <c r="AS6" s="39"/>
      <c r="AT6" s="39"/>
      <c r="AU6" s="39"/>
      <c r="AV6" s="37"/>
      <c r="AW6"/>
      <c r="AX6"/>
      <c r="AY6"/>
      <c r="AZ6"/>
      <c r="BA6"/>
      <c r="BB6"/>
      <c r="BC6"/>
      <c r="BD6"/>
      <c r="BE6"/>
      <c r="BF6"/>
      <c r="BM6"/>
      <c r="BN6" s="14"/>
      <c r="BP6" s="21">
        <v>1</v>
      </c>
      <c r="BQ6" s="10">
        <f>BP6</f>
        <v>1</v>
      </c>
      <c r="CQ6" s="172" t="s">
        <v>231</v>
      </c>
      <c r="CR6" s="173"/>
    </row>
    <row r="7" spans="1:247" ht="16">
      <c r="A7" s="113" t="s">
        <v>220</v>
      </c>
      <c r="B7" s="114"/>
      <c r="C7" s="115"/>
      <c r="D7" s="5"/>
      <c r="E7" s="6"/>
      <c r="F7" s="23"/>
      <c r="G7" s="24" t="s">
        <v>211</v>
      </c>
      <c r="H7" s="25"/>
      <c r="I7" s="6"/>
      <c r="J7" s="6"/>
      <c r="K7" s="6"/>
      <c r="L7" s="6"/>
      <c r="M7" s="6"/>
      <c r="N7" s="6"/>
      <c r="O7" s="6"/>
      <c r="P7" s="6"/>
      <c r="Q7" s="6"/>
      <c r="R7" s="41"/>
      <c r="AE7" s="37"/>
      <c r="AF7" s="37"/>
      <c r="AG7" s="37"/>
      <c r="AH7" s="38"/>
      <c r="AI7" s="34" t="s">
        <v>178</v>
      </c>
      <c r="AJ7" s="11"/>
      <c r="AK7" s="11"/>
      <c r="AL7" s="11"/>
      <c r="AM7" s="9"/>
      <c r="AO7" s="3"/>
      <c r="AP7" s="3"/>
      <c r="AR7" s="3"/>
      <c r="AS7" s="37"/>
      <c r="AT7" s="37"/>
      <c r="AU7" s="37"/>
      <c r="AV7" s="8"/>
      <c r="AW7" s="154" t="s">
        <v>223</v>
      </c>
      <c r="AX7" s="44"/>
      <c r="AY7" s="44"/>
      <c r="AZ7" s="44"/>
      <c r="BA7" s="44"/>
      <c r="BB7" s="44"/>
      <c r="BC7" s="44"/>
      <c r="BD7" s="45"/>
      <c r="BE7"/>
      <c r="BF7"/>
      <c r="BM7"/>
      <c r="BN7" s="14"/>
    </row>
    <row r="8" spans="1:247" ht="19" thickBot="1">
      <c r="A8" s="48"/>
      <c r="B8" s="42"/>
      <c r="C8" s="5"/>
      <c r="D8" s="5"/>
      <c r="E8" s="6"/>
      <c r="F8" s="21"/>
      <c r="G8" s="61">
        <v>1</v>
      </c>
      <c r="H8" s="26"/>
      <c r="I8" s="6"/>
      <c r="J8" s="6"/>
      <c r="K8" s="6"/>
      <c r="L8" s="6"/>
      <c r="M8" s="6"/>
      <c r="N8" s="6"/>
      <c r="O8" s="6"/>
      <c r="P8" s="6"/>
      <c r="Q8" s="6"/>
      <c r="R8" s="41"/>
      <c r="AI8" s="153" t="s">
        <v>176</v>
      </c>
      <c r="AJ8" s="11"/>
      <c r="AK8" s="11"/>
      <c r="AL8" s="11"/>
      <c r="AM8" s="9"/>
      <c r="AO8" s="3"/>
      <c r="AP8" s="3"/>
      <c r="AR8" s="3"/>
      <c r="AS8" s="40"/>
      <c r="AT8" s="40"/>
      <c r="AU8" s="40"/>
      <c r="AV8" s="3"/>
      <c r="AW8" s="28" t="s">
        <v>173</v>
      </c>
      <c r="AX8" s="11"/>
      <c r="AY8" s="11"/>
      <c r="AZ8" s="29"/>
      <c r="BA8" s="29"/>
      <c r="BB8" s="29"/>
      <c r="BC8" s="29"/>
      <c r="BD8" s="30"/>
      <c r="BE8"/>
      <c r="BF8"/>
      <c r="BM8"/>
      <c r="BN8" s="14"/>
      <c r="BO8" s="17"/>
      <c r="BP8" s="159" t="s">
        <v>227</v>
      </c>
      <c r="BQ8" s="17"/>
      <c r="BR8" s="17"/>
      <c r="BS8" s="17"/>
      <c r="BT8" s="17"/>
      <c r="BU8" s="17"/>
      <c r="BV8" s="17"/>
      <c r="BW8" s="17"/>
      <c r="BX8" s="17"/>
      <c r="BY8" s="17"/>
      <c r="CC8" s="17"/>
      <c r="CG8"/>
      <c r="CQ8" s="1" t="s">
        <v>145</v>
      </c>
      <c r="FQ8"/>
      <c r="FR8"/>
      <c r="FX8"/>
      <c r="FY8"/>
      <c r="FZ8"/>
      <c r="GA8"/>
      <c r="IC8" s="1" t="s">
        <v>0</v>
      </c>
      <c r="ID8" s="1">
        <v>537.00300000000004</v>
      </c>
      <c r="IF8" s="1">
        <v>621.15099999999995</v>
      </c>
    </row>
    <row r="9" spans="1:247" ht="17" thickBot="1">
      <c r="A9" s="174" t="s">
        <v>232</v>
      </c>
      <c r="B9" s="114"/>
      <c r="C9" s="115"/>
      <c r="D9" s="5"/>
      <c r="E9" s="6"/>
      <c r="F9" s="6"/>
      <c r="G9" s="6"/>
      <c r="H9" s="6"/>
      <c r="I9" s="6"/>
      <c r="J9" s="6"/>
      <c r="K9" s="6"/>
      <c r="L9" s="6"/>
      <c r="M9" s="6"/>
      <c r="N9" s="6"/>
      <c r="O9" s="6"/>
      <c r="P9" s="6"/>
      <c r="Q9" s="6"/>
      <c r="R9" s="41"/>
      <c r="AE9" s="62"/>
      <c r="AF9" s="37"/>
      <c r="AG9" s="49"/>
      <c r="AH9" s="39"/>
      <c r="AI9" s="27" t="s">
        <v>177</v>
      </c>
      <c r="AJ9" s="32"/>
      <c r="AK9" s="32"/>
      <c r="AL9" s="32"/>
      <c r="AM9" s="33"/>
      <c r="AO9" s="7"/>
      <c r="AP9" s="7"/>
      <c r="AR9" s="7"/>
      <c r="AS9" s="37"/>
      <c r="AT9" s="37"/>
      <c r="AU9" s="37"/>
      <c r="AV9" s="8"/>
      <c r="AW9" s="27" t="s">
        <v>174</v>
      </c>
      <c r="AX9" s="7"/>
      <c r="AY9" s="7"/>
      <c r="AZ9" s="12"/>
      <c r="BA9" s="12"/>
      <c r="BB9" s="12"/>
      <c r="BC9" s="12"/>
      <c r="BD9" s="13"/>
      <c r="BE9"/>
      <c r="BF9"/>
      <c r="BM9"/>
      <c r="BN9" s="14"/>
      <c r="BO9" s="17"/>
      <c r="BP9" s="133" t="s">
        <v>225</v>
      </c>
      <c r="BQ9" s="160"/>
      <c r="BR9" s="156"/>
      <c r="BS9" s="156"/>
      <c r="BT9" s="156"/>
      <c r="BU9" s="156"/>
      <c r="BV9" s="156"/>
      <c r="BW9" s="156"/>
      <c r="BX9" s="156"/>
      <c r="BY9" s="156"/>
      <c r="BZ9" s="156"/>
      <c r="CA9" s="156"/>
      <c r="CB9" s="156"/>
      <c r="CC9" s="157"/>
      <c r="CD9" s="155"/>
      <c r="CE9" s="155"/>
      <c r="CG9"/>
      <c r="CQ9" s="1" t="s">
        <v>1</v>
      </c>
      <c r="CR9" s="1" t="s">
        <v>117</v>
      </c>
      <c r="CS9" s="1" t="s">
        <v>118</v>
      </c>
      <c r="CT9" s="1" t="s">
        <v>119</v>
      </c>
      <c r="CU9" s="1" t="s">
        <v>120</v>
      </c>
      <c r="CV9" s="1" t="s">
        <v>121</v>
      </c>
      <c r="CW9" s="1" t="s">
        <v>122</v>
      </c>
      <c r="CX9" s="1" t="s">
        <v>123</v>
      </c>
      <c r="CY9" s="1" t="s">
        <v>124</v>
      </c>
      <c r="CZ9" s="1" t="s">
        <v>125</v>
      </c>
      <c r="DA9" s="1" t="s">
        <v>126</v>
      </c>
      <c r="DD9"/>
      <c r="DE9"/>
      <c r="DF9"/>
      <c r="DG9"/>
      <c r="DH9"/>
      <c r="DI9"/>
      <c r="DJ9"/>
      <c r="DK9"/>
      <c r="DL9"/>
      <c r="FM9"/>
      <c r="FN9"/>
      <c r="FQ9"/>
      <c r="FR9"/>
      <c r="FX9"/>
      <c r="FY9"/>
      <c r="FZ9"/>
      <c r="GA9"/>
      <c r="GX9" s="1" t="s">
        <v>0</v>
      </c>
      <c r="GY9" s="1">
        <v>592.58900000000006</v>
      </c>
      <c r="GZ9" s="1">
        <v>537.00300000000004</v>
      </c>
      <c r="HA9" s="1">
        <v>621.15099999999995</v>
      </c>
      <c r="IC9" s="1" t="s">
        <v>112</v>
      </c>
      <c r="ID9" s="1">
        <v>-1.0169999999999999</v>
      </c>
      <c r="IF9" s="1">
        <v>-1.22</v>
      </c>
    </row>
    <row r="10" spans="1:247" ht="19" thickBot="1">
      <c r="A10" s="48"/>
      <c r="B10" s="42"/>
      <c r="C10" s="5"/>
      <c r="D10" s="5"/>
      <c r="E10" s="6"/>
      <c r="F10" s="6"/>
      <c r="G10" s="6"/>
      <c r="H10" s="6"/>
      <c r="I10" s="6"/>
      <c r="J10" s="6"/>
      <c r="K10" s="6"/>
      <c r="L10" s="6"/>
      <c r="M10" s="6"/>
      <c r="N10" s="6"/>
      <c r="O10" s="6"/>
      <c r="P10" s="6"/>
      <c r="Q10" s="6"/>
      <c r="R10" s="41"/>
      <c r="AI10" s="36" t="s">
        <v>179</v>
      </c>
      <c r="AJ10" s="31"/>
      <c r="AK10" s="31"/>
      <c r="AL10" s="31"/>
      <c r="AM10" s="35"/>
      <c r="AO10" s="7"/>
      <c r="AP10" s="7"/>
      <c r="AR10" s="7"/>
      <c r="AS10" s="40"/>
      <c r="AT10" s="40"/>
      <c r="AU10" s="40"/>
      <c r="AV10" s="38"/>
      <c r="AW10" s="27" t="s">
        <v>175</v>
      </c>
      <c r="AX10" s="7"/>
      <c r="AY10" s="7"/>
      <c r="AZ10" s="7"/>
      <c r="BA10" s="7"/>
      <c r="BB10" s="7"/>
      <c r="BC10" s="7"/>
      <c r="BD10" s="19"/>
      <c r="BE10"/>
      <c r="BF10"/>
      <c r="BM10"/>
      <c r="BN10" s="14"/>
      <c r="BO10" s="17"/>
      <c r="BP10" s="158" t="s">
        <v>226</v>
      </c>
      <c r="BQ10" s="22"/>
      <c r="BR10" s="22"/>
      <c r="BS10" s="22"/>
      <c r="BT10" s="22"/>
      <c r="BU10" s="22"/>
      <c r="BV10" s="22"/>
      <c r="BW10" s="22"/>
      <c r="BX10" s="22"/>
      <c r="BY10" s="22"/>
      <c r="BZ10" s="22"/>
      <c r="CA10" s="22"/>
      <c r="CB10" s="22"/>
      <c r="CC10" s="22"/>
      <c r="CD10" s="22"/>
      <c r="CE10" s="22"/>
      <c r="CF10" s="17"/>
      <c r="CG10"/>
      <c r="CQ10" s="1">
        <v>60.084299999999999</v>
      </c>
      <c r="CR10" s="1">
        <v>79.878799999999998</v>
      </c>
      <c r="CS10" s="1">
        <v>101.961</v>
      </c>
      <c r="CT10" s="1">
        <v>71.846400000000003</v>
      </c>
      <c r="CU10" s="1">
        <v>70.9375</v>
      </c>
      <c r="CV10" s="1">
        <v>40.304400000000001</v>
      </c>
      <c r="CW10" s="1">
        <v>56.077399999999997</v>
      </c>
      <c r="CX10" s="1">
        <v>61.978900000000003</v>
      </c>
      <c r="CY10" s="1">
        <v>94.195999999999998</v>
      </c>
      <c r="CZ10" s="1">
        <f>52*2+3*15.9994</f>
        <v>151.9982</v>
      </c>
      <c r="DA10" s="1">
        <f>2*30.97+5*15.9994</f>
        <v>141.93700000000001</v>
      </c>
      <c r="ET10"/>
      <c r="EU10"/>
      <c r="EV10"/>
      <c r="FM10"/>
      <c r="FN10"/>
      <c r="FQ10"/>
      <c r="FR10"/>
      <c r="FV10" s="2"/>
      <c r="FX10"/>
      <c r="FY10"/>
      <c r="FZ10"/>
      <c r="GA10"/>
      <c r="GX10" s="1" t="s">
        <v>112</v>
      </c>
      <c r="GY10" s="1">
        <v>-1.085</v>
      </c>
      <c r="GZ10" s="1">
        <v>-1.0169999999999999</v>
      </c>
      <c r="HA10" s="1">
        <v>-1.22</v>
      </c>
      <c r="IC10" s="1" t="s">
        <v>113</v>
      </c>
      <c r="ID10" s="1">
        <v>-5.6630000000000003</v>
      </c>
      <c r="IF10" s="1">
        <v>-4.62</v>
      </c>
    </row>
    <row r="11" spans="1:247" s="132" customFormat="1" ht="17" thickBot="1">
      <c r="A11" s="113"/>
      <c r="B11" s="114"/>
      <c r="C11" s="128"/>
      <c r="D11" s="128"/>
      <c r="E11" s="115"/>
      <c r="F11" s="133" t="s">
        <v>213</v>
      </c>
      <c r="G11" s="145"/>
      <c r="H11" s="145"/>
      <c r="I11" s="146"/>
      <c r="J11" s="147"/>
      <c r="K11" s="135"/>
      <c r="L11" s="136"/>
      <c r="M11" s="129"/>
      <c r="N11" s="129"/>
      <c r="O11" s="129"/>
      <c r="P11" s="129"/>
      <c r="Q11" s="129"/>
      <c r="R11" s="130"/>
      <c r="S11" s="131"/>
      <c r="T11" s="133" t="s">
        <v>214</v>
      </c>
      <c r="U11" s="143"/>
      <c r="V11" s="143"/>
      <c r="W11" s="144"/>
      <c r="X11" s="142"/>
      <c r="Y11" s="129"/>
      <c r="Z11" s="129"/>
      <c r="AA11" s="129"/>
      <c r="AB11" s="129"/>
      <c r="AC11" s="129"/>
      <c r="AE11" s="133" t="s">
        <v>196</v>
      </c>
      <c r="AF11" s="134"/>
      <c r="AG11" s="135"/>
      <c r="AH11" s="136"/>
      <c r="AI11" s="137" t="s">
        <v>182</v>
      </c>
      <c r="AJ11" s="138"/>
      <c r="AK11" s="138"/>
      <c r="AL11" s="138"/>
      <c r="AM11" s="138"/>
      <c r="AO11" s="139" t="s">
        <v>233</v>
      </c>
      <c r="AP11" s="139"/>
      <c r="AQ11" s="140"/>
      <c r="AR11" s="139"/>
      <c r="AS11" s="136"/>
      <c r="AT11" s="136"/>
      <c r="AU11" s="136"/>
      <c r="AW11" s="149" t="s">
        <v>232</v>
      </c>
      <c r="AX11" s="150"/>
      <c r="AY11" s="150"/>
      <c r="AZ11" s="151"/>
      <c r="BA11" s="151"/>
      <c r="BB11" s="151"/>
      <c r="BC11" s="151"/>
      <c r="BD11" s="152"/>
      <c r="BE11" s="131"/>
      <c r="BF11" s="131"/>
      <c r="BG11" s="158" t="s">
        <v>57</v>
      </c>
      <c r="BH11" s="158"/>
      <c r="BI11" s="158"/>
      <c r="BJ11" s="158"/>
      <c r="BK11" s="158"/>
      <c r="BL11" s="118"/>
      <c r="BM11" s="118"/>
      <c r="BN11" s="118"/>
      <c r="BO11" s="118"/>
      <c r="BP11" s="162" t="s">
        <v>3</v>
      </c>
      <c r="BQ11" s="123"/>
      <c r="BR11" s="123"/>
      <c r="BS11" s="123"/>
      <c r="BT11" s="123"/>
      <c r="BU11" s="123"/>
      <c r="BV11" s="123"/>
      <c r="BW11" s="118"/>
      <c r="BX11" s="162" t="s">
        <v>2</v>
      </c>
      <c r="BY11" s="123"/>
      <c r="BZ11" s="123"/>
      <c r="CA11" s="123"/>
      <c r="CB11" s="123"/>
      <c r="CC11" s="123"/>
      <c r="CD11" s="123"/>
      <c r="CE11" s="123"/>
      <c r="CF11" s="141"/>
      <c r="CG11" s="161" t="s">
        <v>171</v>
      </c>
      <c r="CH11" s="161"/>
      <c r="CI11" s="161"/>
      <c r="CJ11" s="161"/>
      <c r="CK11" s="161"/>
      <c r="CL11" s="161"/>
      <c r="CM11" s="161"/>
      <c r="CN11" s="161"/>
      <c r="CO11" s="161"/>
      <c r="ET11" s="131"/>
      <c r="EU11" s="131"/>
      <c r="EV11" s="131"/>
      <c r="FM11" s="131"/>
      <c r="FN11" s="131"/>
      <c r="FX11" s="131"/>
      <c r="FY11" s="131"/>
      <c r="FZ11" s="131"/>
      <c r="GA11" s="131"/>
      <c r="GD11" s="132" t="s">
        <v>37</v>
      </c>
      <c r="GX11" s="132" t="s">
        <v>113</v>
      </c>
      <c r="GY11" s="132">
        <v>-7.4589999999999996</v>
      </c>
      <c r="GZ11" s="132">
        <v>-5.6630000000000003</v>
      </c>
      <c r="HA11" s="132">
        <v>-4.62</v>
      </c>
      <c r="IC11" s="132" t="s">
        <v>38</v>
      </c>
      <c r="ID11" s="132">
        <v>-2.722</v>
      </c>
      <c r="IF11" s="132">
        <v>-7.7729999999999997</v>
      </c>
    </row>
    <row r="12" spans="1:247" s="80" customFormat="1" ht="14" thickBot="1">
      <c r="A12" s="87"/>
      <c r="B12" s="88"/>
      <c r="C12" s="116" t="s">
        <v>190</v>
      </c>
      <c r="D12" s="117"/>
      <c r="E12" s="91"/>
      <c r="F12" s="118"/>
      <c r="G12" s="77"/>
      <c r="H12" s="77"/>
      <c r="I12" s="77"/>
      <c r="J12" s="77"/>
      <c r="K12" s="77"/>
      <c r="L12" s="77"/>
      <c r="M12" s="77"/>
      <c r="N12" s="77"/>
      <c r="O12" s="77"/>
      <c r="P12" s="77"/>
      <c r="Q12" s="77"/>
      <c r="R12" s="119"/>
      <c r="S12" s="67"/>
      <c r="T12" s="77"/>
      <c r="U12" s="77"/>
      <c r="V12" s="77"/>
      <c r="W12" s="77"/>
      <c r="X12" s="77"/>
      <c r="Y12" s="77"/>
      <c r="Z12" s="77"/>
      <c r="AA12" s="77"/>
      <c r="AB12" s="77"/>
      <c r="AC12" s="77"/>
      <c r="AE12" s="120" t="s">
        <v>181</v>
      </c>
      <c r="AF12" s="120"/>
      <c r="AG12" s="112"/>
      <c r="AH12" s="98"/>
      <c r="AI12" s="77"/>
      <c r="AJ12" s="77"/>
      <c r="AK12" s="77"/>
      <c r="AL12" s="77"/>
      <c r="AM12" s="77"/>
      <c r="AO12" s="121" t="s">
        <v>193</v>
      </c>
      <c r="AP12" s="121"/>
      <c r="AQ12" s="122"/>
      <c r="AR12" s="112"/>
      <c r="AS12" s="120" t="s">
        <v>191</v>
      </c>
      <c r="AT12" s="120"/>
      <c r="AU12" s="112"/>
      <c r="AW12" s="123" t="s">
        <v>116</v>
      </c>
      <c r="AX12" s="123"/>
      <c r="AY12" s="123"/>
      <c r="AZ12" s="123"/>
      <c r="BA12" s="123"/>
      <c r="BB12" s="123"/>
      <c r="BC12" s="123" t="s">
        <v>36</v>
      </c>
      <c r="BD12" s="123"/>
      <c r="BE12" s="123"/>
      <c r="BF12" s="123"/>
      <c r="BG12" s="76"/>
      <c r="BH12" s="76"/>
      <c r="BI12" s="76"/>
      <c r="BJ12" s="76"/>
      <c r="BK12" s="76"/>
      <c r="BL12" s="76"/>
      <c r="BM12" s="123"/>
      <c r="BN12" s="118"/>
      <c r="BO12" s="77"/>
      <c r="BP12" s="125" t="s">
        <v>51</v>
      </c>
      <c r="BQ12" s="124"/>
      <c r="BR12" s="124"/>
      <c r="BS12" s="124"/>
      <c r="BT12" s="124"/>
      <c r="BU12" s="124"/>
      <c r="BV12" s="124"/>
      <c r="BW12" s="77"/>
      <c r="BX12" s="125" t="s">
        <v>76</v>
      </c>
      <c r="BY12" s="124"/>
      <c r="BZ12" s="124"/>
      <c r="CA12" s="124"/>
      <c r="CB12" s="124"/>
      <c r="CC12" s="124"/>
      <c r="CD12" s="124"/>
      <c r="CE12" s="124"/>
      <c r="CF12" s="77"/>
      <c r="CG12" s="126" t="s">
        <v>58</v>
      </c>
      <c r="CH12" s="126"/>
      <c r="CI12" s="126"/>
      <c r="CJ12" s="126"/>
      <c r="CK12" s="126"/>
      <c r="CL12" s="122"/>
      <c r="CM12" s="126"/>
      <c r="CN12" s="126"/>
      <c r="CO12" s="126"/>
      <c r="CP12" s="79"/>
      <c r="CQ12" s="80" t="s">
        <v>114</v>
      </c>
      <c r="DD12" s="109" t="s">
        <v>114</v>
      </c>
      <c r="DE12" s="110"/>
      <c r="DF12" s="110"/>
      <c r="DG12" s="110"/>
      <c r="DH12" s="110"/>
      <c r="DI12" s="110"/>
      <c r="DJ12" s="110"/>
      <c r="DK12" s="110"/>
      <c r="DL12" s="110"/>
      <c r="DM12" s="110"/>
      <c r="DN12" s="111"/>
      <c r="DQ12" s="80" t="s">
        <v>115</v>
      </c>
      <c r="EC12" s="80" t="s">
        <v>115</v>
      </c>
      <c r="EP12" s="109" t="s">
        <v>115</v>
      </c>
      <c r="EQ12" s="110"/>
      <c r="ER12" s="110"/>
      <c r="ES12" s="110"/>
      <c r="ET12" s="127"/>
      <c r="EU12" s="127"/>
      <c r="EV12" s="127"/>
      <c r="EW12" s="110"/>
      <c r="EX12" s="110"/>
      <c r="EY12" s="110"/>
      <c r="EZ12" s="110"/>
      <c r="FA12" s="110"/>
      <c r="FB12" s="111"/>
      <c r="FC12" s="80" t="s">
        <v>56</v>
      </c>
      <c r="FT12" s="79" t="s">
        <v>39</v>
      </c>
      <c r="FU12" s="79"/>
      <c r="FV12" s="80" t="s">
        <v>40</v>
      </c>
      <c r="GX12" s="80" t="s">
        <v>38</v>
      </c>
      <c r="GY12" s="80">
        <v>-5.5549999999999997</v>
      </c>
      <c r="GZ12" s="80">
        <v>-2.722</v>
      </c>
      <c r="HA12" s="80">
        <v>-7.7729999999999997</v>
      </c>
      <c r="IC12" s="80" t="s">
        <v>41</v>
      </c>
    </row>
    <row r="13" spans="1:247" s="80" customFormat="1" ht="14" thickBot="1">
      <c r="A13" s="87" t="s">
        <v>212</v>
      </c>
      <c r="B13" s="88"/>
      <c r="C13" s="89" t="s">
        <v>49</v>
      </c>
      <c r="D13" s="90" t="s">
        <v>49</v>
      </c>
      <c r="E13" s="91"/>
      <c r="F13" s="92" t="s">
        <v>215</v>
      </c>
      <c r="G13" s="93"/>
      <c r="H13" s="93"/>
      <c r="I13" s="93"/>
      <c r="J13" s="93"/>
      <c r="K13" s="93"/>
      <c r="L13" s="93"/>
      <c r="M13" s="93"/>
      <c r="N13" s="93"/>
      <c r="O13" s="93"/>
      <c r="P13" s="93"/>
      <c r="Q13" s="93"/>
      <c r="R13" s="94" t="s">
        <v>189</v>
      </c>
      <c r="S13" s="67"/>
      <c r="T13" s="92" t="s">
        <v>216</v>
      </c>
      <c r="U13" s="93"/>
      <c r="V13" s="93"/>
      <c r="W13" s="93"/>
      <c r="X13" s="93"/>
      <c r="Y13" s="93"/>
      <c r="Z13" s="93"/>
      <c r="AA13" s="93"/>
      <c r="AB13" s="93"/>
      <c r="AC13" s="93"/>
      <c r="AD13" s="67"/>
      <c r="AE13" s="95" t="s">
        <v>198</v>
      </c>
      <c r="AF13" s="96"/>
      <c r="AG13" s="97"/>
      <c r="AH13" s="98"/>
      <c r="AI13" s="99" t="s">
        <v>222</v>
      </c>
      <c r="AJ13" s="100"/>
      <c r="AK13" s="101"/>
      <c r="AL13" s="99" t="s">
        <v>172</v>
      </c>
      <c r="AM13" s="100"/>
      <c r="AN13" s="98"/>
      <c r="AO13" s="102" t="s">
        <v>221</v>
      </c>
      <c r="AP13" s="102"/>
      <c r="AQ13" s="103"/>
      <c r="AR13" s="104"/>
      <c r="AS13" s="102" t="s">
        <v>221</v>
      </c>
      <c r="AT13" s="102"/>
      <c r="AU13" s="103"/>
      <c r="AV13" s="67"/>
      <c r="AW13" s="189" t="s">
        <v>130</v>
      </c>
      <c r="AX13" s="189"/>
      <c r="AY13" s="189" t="s">
        <v>131</v>
      </c>
      <c r="AZ13" s="189"/>
      <c r="BA13" s="76" t="s">
        <v>132</v>
      </c>
      <c r="BB13" s="75"/>
      <c r="BC13" s="76"/>
      <c r="BD13" s="76"/>
      <c r="BE13" s="76"/>
      <c r="BF13" s="76"/>
      <c r="BG13" s="76" t="s">
        <v>133</v>
      </c>
      <c r="BH13" s="76" t="s">
        <v>134</v>
      </c>
      <c r="BI13" s="76" t="s">
        <v>135</v>
      </c>
      <c r="BJ13" s="76" t="s">
        <v>136</v>
      </c>
      <c r="BK13" s="76" t="s">
        <v>136</v>
      </c>
      <c r="BL13" s="76"/>
      <c r="BM13" s="76" t="s">
        <v>195</v>
      </c>
      <c r="BN13" s="98"/>
      <c r="BO13" s="77"/>
      <c r="BP13" s="76" t="s">
        <v>188</v>
      </c>
      <c r="BQ13" s="76">
        <v>3.2</v>
      </c>
      <c r="BR13" s="76">
        <v>3.4</v>
      </c>
      <c r="BS13" s="76">
        <v>3.5</v>
      </c>
      <c r="BT13" s="76">
        <v>3.6</v>
      </c>
      <c r="BU13" s="76">
        <v>3.7</v>
      </c>
      <c r="BV13" s="76"/>
      <c r="BW13" s="77"/>
      <c r="BX13" s="76"/>
      <c r="BY13" s="76"/>
      <c r="BZ13" s="76"/>
      <c r="CA13" s="76"/>
      <c r="CB13" s="76"/>
      <c r="CC13" s="76"/>
      <c r="CD13" s="76"/>
      <c r="CE13" s="76"/>
      <c r="CF13" s="77"/>
      <c r="CG13" s="105" t="s">
        <v>5</v>
      </c>
      <c r="CH13" s="105" t="s">
        <v>40</v>
      </c>
      <c r="CI13" s="105" t="s">
        <v>142</v>
      </c>
      <c r="CJ13" s="105" t="s">
        <v>139</v>
      </c>
      <c r="CK13" s="105" t="s">
        <v>140</v>
      </c>
      <c r="CL13" s="79"/>
      <c r="CM13" s="105" t="s">
        <v>101</v>
      </c>
      <c r="CN13" s="105" t="s">
        <v>59</v>
      </c>
      <c r="CO13" s="106" t="s">
        <v>111</v>
      </c>
      <c r="CP13" s="79"/>
      <c r="CQ13" s="80" t="s">
        <v>42</v>
      </c>
      <c r="DD13" s="107" t="s">
        <v>43</v>
      </c>
      <c r="DE13" s="79"/>
      <c r="DF13" s="79"/>
      <c r="DG13" s="79"/>
      <c r="DH13" s="79"/>
      <c r="DI13" s="79"/>
      <c r="DJ13" s="79"/>
      <c r="DK13" s="79"/>
      <c r="DL13" s="79"/>
      <c r="DM13" s="79"/>
      <c r="DN13" s="108"/>
      <c r="DQ13" s="80" t="s">
        <v>44</v>
      </c>
      <c r="EC13" s="80" t="s">
        <v>45</v>
      </c>
      <c r="EM13" s="80" t="s">
        <v>52</v>
      </c>
      <c r="EN13" s="80" t="s">
        <v>54</v>
      </c>
      <c r="EP13" s="107" t="s">
        <v>127</v>
      </c>
      <c r="EQ13" s="79"/>
      <c r="ER13" s="79"/>
      <c r="ES13" s="79"/>
      <c r="ET13" s="79"/>
      <c r="EU13" s="79"/>
      <c r="EV13" s="79"/>
      <c r="EW13" s="79"/>
      <c r="EX13" s="79"/>
      <c r="EY13" s="79"/>
      <c r="EZ13" s="79"/>
      <c r="FA13" s="79"/>
      <c r="FB13" s="108" t="s">
        <v>6</v>
      </c>
      <c r="FC13" s="80" t="s">
        <v>128</v>
      </c>
      <c r="FD13" s="80" t="s">
        <v>129</v>
      </c>
      <c r="FE13" s="109" t="s">
        <v>15</v>
      </c>
      <c r="FF13" s="110"/>
      <c r="FG13" s="110"/>
      <c r="FH13" s="110"/>
      <c r="FI13" s="110"/>
      <c r="FJ13" s="110"/>
      <c r="FK13" s="110" t="s">
        <v>16</v>
      </c>
      <c r="FL13" s="111"/>
      <c r="FN13" s="80">
        <v>1996</v>
      </c>
      <c r="FO13" s="80">
        <v>2003</v>
      </c>
      <c r="FT13" s="79" t="s">
        <v>137</v>
      </c>
      <c r="FU13" s="79" t="s">
        <v>137</v>
      </c>
      <c r="FV13" s="80" t="s">
        <v>138</v>
      </c>
      <c r="FZ13" s="80" t="s">
        <v>136</v>
      </c>
      <c r="GA13" s="80" t="s">
        <v>100</v>
      </c>
      <c r="GB13" s="80" t="s">
        <v>101</v>
      </c>
      <c r="GD13" s="80" t="s">
        <v>102</v>
      </c>
      <c r="GK13" s="80" t="s">
        <v>103</v>
      </c>
      <c r="GR13" s="80" t="s">
        <v>41</v>
      </c>
      <c r="GT13" s="80" t="s">
        <v>104</v>
      </c>
      <c r="GX13" s="80" t="s">
        <v>143</v>
      </c>
      <c r="GY13" s="80" t="s">
        <v>105</v>
      </c>
      <c r="GZ13" s="80" t="s">
        <v>106</v>
      </c>
      <c r="HB13" s="80" t="s">
        <v>107</v>
      </c>
      <c r="IC13" s="112" t="s">
        <v>108</v>
      </c>
      <c r="ID13" s="112"/>
      <c r="IE13" s="112" t="s">
        <v>109</v>
      </c>
      <c r="IF13" s="112"/>
      <c r="IG13" s="112" t="s">
        <v>110</v>
      </c>
    </row>
    <row r="14" spans="1:247" s="77" customFormat="1" ht="18" customHeight="1" thickBot="1">
      <c r="A14" s="64" t="s">
        <v>21</v>
      </c>
      <c r="B14" s="64" t="s">
        <v>19</v>
      </c>
      <c r="C14" s="64" t="s">
        <v>22</v>
      </c>
      <c r="D14" s="64" t="s">
        <v>217</v>
      </c>
      <c r="E14" s="64" t="s">
        <v>187</v>
      </c>
      <c r="F14" s="65" t="s">
        <v>1</v>
      </c>
      <c r="G14" s="65" t="s">
        <v>117</v>
      </c>
      <c r="H14" s="65" t="s">
        <v>118</v>
      </c>
      <c r="I14" s="65" t="s">
        <v>141</v>
      </c>
      <c r="J14" s="65" t="s">
        <v>120</v>
      </c>
      <c r="K14" s="65" t="s">
        <v>121</v>
      </c>
      <c r="L14" s="65" t="s">
        <v>122</v>
      </c>
      <c r="M14" s="65" t="s">
        <v>123</v>
      </c>
      <c r="N14" s="65" t="s">
        <v>124</v>
      </c>
      <c r="O14" s="65" t="s">
        <v>125</v>
      </c>
      <c r="P14" s="65" t="s">
        <v>126</v>
      </c>
      <c r="Q14" s="65" t="s">
        <v>4</v>
      </c>
      <c r="R14" s="66" t="s">
        <v>4</v>
      </c>
      <c r="S14" s="164"/>
      <c r="T14" s="65" t="s">
        <v>1</v>
      </c>
      <c r="U14" s="65" t="s">
        <v>117</v>
      </c>
      <c r="V14" s="65" t="s">
        <v>118</v>
      </c>
      <c r="W14" s="65" t="s">
        <v>141</v>
      </c>
      <c r="X14" s="65" t="s">
        <v>120</v>
      </c>
      <c r="Y14" s="65" t="s">
        <v>121</v>
      </c>
      <c r="Z14" s="65" t="s">
        <v>122</v>
      </c>
      <c r="AA14" s="65" t="s">
        <v>123</v>
      </c>
      <c r="AB14" s="65" t="s">
        <v>124</v>
      </c>
      <c r="AC14" s="65" t="s">
        <v>125</v>
      </c>
      <c r="AD14" s="164"/>
      <c r="AE14" s="68" t="s">
        <v>180</v>
      </c>
      <c r="AF14" s="69" t="s">
        <v>234</v>
      </c>
      <c r="AG14" s="69" t="s">
        <v>197</v>
      </c>
      <c r="AH14" s="70"/>
      <c r="AI14" s="71" t="s">
        <v>155</v>
      </c>
      <c r="AJ14" s="71" t="s">
        <v>22</v>
      </c>
      <c r="AK14" s="72"/>
      <c r="AL14" s="71" t="s">
        <v>155</v>
      </c>
      <c r="AM14" s="71" t="s">
        <v>22</v>
      </c>
      <c r="AN14" s="73"/>
      <c r="AO14" s="71" t="s">
        <v>180</v>
      </c>
      <c r="AP14" s="71" t="s">
        <v>217</v>
      </c>
      <c r="AQ14" s="71" t="s">
        <v>192</v>
      </c>
      <c r="AR14" s="72"/>
      <c r="AS14" s="71" t="s">
        <v>194</v>
      </c>
      <c r="AT14" s="71" t="s">
        <v>217</v>
      </c>
      <c r="AU14" s="71" t="s">
        <v>192</v>
      </c>
      <c r="AV14" s="164"/>
      <c r="AW14" s="74" t="s">
        <v>153</v>
      </c>
      <c r="AX14" s="74" t="s">
        <v>228</v>
      </c>
      <c r="AY14" s="74" t="s">
        <v>154</v>
      </c>
      <c r="AZ14" s="74" t="s">
        <v>229</v>
      </c>
      <c r="BA14" s="74" t="s">
        <v>22</v>
      </c>
      <c r="BB14" s="75"/>
      <c r="BC14" s="74" t="s">
        <v>155</v>
      </c>
      <c r="BD14" s="74" t="s">
        <v>22</v>
      </c>
      <c r="BE14" s="74" t="s">
        <v>217</v>
      </c>
      <c r="BF14" s="76"/>
      <c r="BG14" s="74" t="s">
        <v>22</v>
      </c>
      <c r="BH14" s="74" t="s">
        <v>22</v>
      </c>
      <c r="BI14" s="74" t="s">
        <v>217</v>
      </c>
      <c r="BJ14" s="74" t="s">
        <v>217</v>
      </c>
      <c r="BK14" s="74" t="s">
        <v>217</v>
      </c>
      <c r="BL14" s="76"/>
      <c r="BM14" s="74" t="s">
        <v>230</v>
      </c>
      <c r="BN14" s="98"/>
      <c r="BO14" s="77" t="s">
        <v>210</v>
      </c>
      <c r="BP14" s="74" t="s">
        <v>50</v>
      </c>
      <c r="BQ14" s="74" t="s">
        <v>32</v>
      </c>
      <c r="BR14" s="74" t="s">
        <v>28</v>
      </c>
      <c r="BS14" s="74" t="s">
        <v>27</v>
      </c>
      <c r="BT14" s="74" t="s">
        <v>29</v>
      </c>
      <c r="BU14" s="74" t="s">
        <v>30</v>
      </c>
      <c r="BV14" s="74" t="s">
        <v>53</v>
      </c>
      <c r="BX14" s="74" t="s">
        <v>50</v>
      </c>
      <c r="BY14" s="74" t="str">
        <f t="shared" ref="BY14:BY17" si="0">FJ14</f>
        <v>EnFs</v>
      </c>
      <c r="BZ14" s="74" t="str">
        <f t="shared" ref="BZ14:BZ17" si="1">FF14</f>
        <v>CaTs</v>
      </c>
      <c r="CA14" s="74" t="str">
        <f t="shared" ref="CA14:CA17" si="2">FE14</f>
        <v>Jd</v>
      </c>
      <c r="CB14" s="74" t="str">
        <f t="shared" ref="CB14:CC17" si="3">FG14</f>
        <v>CaTi</v>
      </c>
      <c r="CC14" s="74" t="str">
        <f t="shared" si="3"/>
        <v>CrCaTs</v>
      </c>
      <c r="CD14" s="74" t="s">
        <v>53</v>
      </c>
      <c r="CE14" s="74" t="s">
        <v>218</v>
      </c>
      <c r="CG14" s="74" t="s">
        <v>22</v>
      </c>
      <c r="CH14" s="74" t="s">
        <v>22</v>
      </c>
      <c r="CI14" s="74" t="s">
        <v>144</v>
      </c>
      <c r="CJ14" s="74" t="s">
        <v>156</v>
      </c>
      <c r="CK14" s="74" t="s">
        <v>159</v>
      </c>
      <c r="CL14" s="98"/>
      <c r="CM14" s="74" t="s">
        <v>22</v>
      </c>
      <c r="CN14" s="74" t="s">
        <v>22</v>
      </c>
      <c r="CO14" s="78" t="s">
        <v>156</v>
      </c>
      <c r="CP14" s="98"/>
      <c r="CQ14" s="77" t="s">
        <v>1</v>
      </c>
      <c r="CR14" s="77" t="s">
        <v>117</v>
      </c>
      <c r="CS14" s="77" t="s">
        <v>146</v>
      </c>
      <c r="CT14" s="77" t="s">
        <v>119</v>
      </c>
      <c r="CU14" s="77" t="s">
        <v>120</v>
      </c>
      <c r="CV14" s="77" t="s">
        <v>121</v>
      </c>
      <c r="CW14" s="77" t="s">
        <v>122</v>
      </c>
      <c r="CX14" s="77" t="s">
        <v>147</v>
      </c>
      <c r="CY14" s="77" t="s">
        <v>148</v>
      </c>
      <c r="CZ14" s="77" t="s">
        <v>149</v>
      </c>
      <c r="DA14" s="77" t="s">
        <v>150</v>
      </c>
      <c r="DB14" s="77" t="s">
        <v>151</v>
      </c>
      <c r="DD14" s="165" t="s">
        <v>1</v>
      </c>
      <c r="DE14" s="148" t="s">
        <v>117</v>
      </c>
      <c r="DF14" s="148" t="s">
        <v>146</v>
      </c>
      <c r="DG14" s="148" t="s">
        <v>119</v>
      </c>
      <c r="DH14" s="148" t="s">
        <v>120</v>
      </c>
      <c r="DI14" s="148" t="s">
        <v>121</v>
      </c>
      <c r="DJ14" s="148" t="s">
        <v>122</v>
      </c>
      <c r="DK14" s="148" t="s">
        <v>147</v>
      </c>
      <c r="DL14" s="148" t="s">
        <v>148</v>
      </c>
      <c r="DM14" s="148" t="s">
        <v>149</v>
      </c>
      <c r="DN14" s="166" t="s">
        <v>150</v>
      </c>
      <c r="DP14" s="98" t="s">
        <v>209</v>
      </c>
      <c r="DQ14" s="77" t="s">
        <v>1</v>
      </c>
      <c r="DR14" s="77" t="s">
        <v>117</v>
      </c>
      <c r="DS14" s="77" t="s">
        <v>146</v>
      </c>
      <c r="DT14" s="77" t="s">
        <v>119</v>
      </c>
      <c r="DU14" s="77" t="s">
        <v>120</v>
      </c>
      <c r="DV14" s="77" t="s">
        <v>121</v>
      </c>
      <c r="DW14" s="77" t="s">
        <v>122</v>
      </c>
      <c r="DX14" s="77" t="s">
        <v>147</v>
      </c>
      <c r="DY14" s="77" t="s">
        <v>148</v>
      </c>
      <c r="DZ14" s="77" t="s">
        <v>149</v>
      </c>
      <c r="EA14" s="77" t="s">
        <v>151</v>
      </c>
      <c r="EC14" s="77" t="s">
        <v>1</v>
      </c>
      <c r="ED14" s="77" t="s">
        <v>117</v>
      </c>
      <c r="EE14" s="77" t="s">
        <v>146</v>
      </c>
      <c r="EF14" s="77" t="s">
        <v>119</v>
      </c>
      <c r="EG14" s="77" t="s">
        <v>120</v>
      </c>
      <c r="EH14" s="77" t="s">
        <v>121</v>
      </c>
      <c r="EI14" s="77" t="s">
        <v>122</v>
      </c>
      <c r="EJ14" s="77" t="s">
        <v>147</v>
      </c>
      <c r="EK14" s="77" t="s">
        <v>148</v>
      </c>
      <c r="EL14" s="77" t="s">
        <v>149</v>
      </c>
      <c r="EM14" s="77" t="s">
        <v>53</v>
      </c>
      <c r="EN14" s="77" t="s">
        <v>55</v>
      </c>
      <c r="EP14" s="165" t="s">
        <v>14</v>
      </c>
      <c r="EQ14" s="148" t="s">
        <v>13</v>
      </c>
      <c r="ER14" s="148" t="s">
        <v>23</v>
      </c>
      <c r="ES14" s="148" t="s">
        <v>24</v>
      </c>
      <c r="ET14" s="148" t="s">
        <v>25</v>
      </c>
      <c r="EU14" s="148" t="s">
        <v>12</v>
      </c>
      <c r="EV14" s="148" t="s">
        <v>11</v>
      </c>
      <c r="EW14" s="148" t="s">
        <v>10</v>
      </c>
      <c r="EX14" s="148" t="s">
        <v>9</v>
      </c>
      <c r="EY14" s="148" t="s">
        <v>7</v>
      </c>
      <c r="EZ14" s="148" t="s">
        <v>82</v>
      </c>
      <c r="FA14" s="148" t="s">
        <v>8</v>
      </c>
      <c r="FB14" s="166" t="s">
        <v>53</v>
      </c>
      <c r="FC14" s="77" t="s">
        <v>26</v>
      </c>
      <c r="FD14" s="77" t="s">
        <v>26</v>
      </c>
      <c r="FE14" s="167" t="s">
        <v>27</v>
      </c>
      <c r="FF14" s="150" t="s">
        <v>28</v>
      </c>
      <c r="FG14" s="150" t="s">
        <v>29</v>
      </c>
      <c r="FH14" s="150" t="s">
        <v>30</v>
      </c>
      <c r="FI14" s="150" t="s">
        <v>31</v>
      </c>
      <c r="FJ14" s="150" t="s">
        <v>32</v>
      </c>
      <c r="FK14" s="148" t="s">
        <v>53</v>
      </c>
      <c r="FL14" s="166" t="s">
        <v>33</v>
      </c>
      <c r="FM14" s="77" t="s">
        <v>34</v>
      </c>
      <c r="FN14" s="77" t="s">
        <v>35</v>
      </c>
      <c r="FO14" s="77" t="s">
        <v>35</v>
      </c>
      <c r="FP14" s="77" t="s">
        <v>152</v>
      </c>
      <c r="FQ14" s="77" t="s">
        <v>17</v>
      </c>
      <c r="FR14" s="77" t="s">
        <v>18</v>
      </c>
      <c r="FS14" s="77" t="s">
        <v>157</v>
      </c>
      <c r="FT14" s="98" t="s">
        <v>133</v>
      </c>
      <c r="FU14" s="98" t="s">
        <v>135</v>
      </c>
      <c r="FV14" s="77" t="s">
        <v>22</v>
      </c>
      <c r="FW14" s="168" t="s">
        <v>158</v>
      </c>
      <c r="FX14" s="98" t="s">
        <v>208</v>
      </c>
      <c r="FZ14" s="77" t="s">
        <v>159</v>
      </c>
      <c r="GA14" s="77" t="s">
        <v>159</v>
      </c>
      <c r="GB14" s="77" t="s">
        <v>160</v>
      </c>
      <c r="GC14" s="77" t="s">
        <v>161</v>
      </c>
      <c r="GD14" s="77" t="s">
        <v>159</v>
      </c>
      <c r="GE14" s="77" t="s">
        <v>162</v>
      </c>
      <c r="GF14" s="77" t="s">
        <v>163</v>
      </c>
      <c r="GG14" s="77" t="s">
        <v>164</v>
      </c>
      <c r="GH14" s="77" t="s">
        <v>165</v>
      </c>
      <c r="GI14" s="77" t="s">
        <v>112</v>
      </c>
      <c r="GJ14" s="77" t="s">
        <v>113</v>
      </c>
      <c r="GK14" s="77" t="s">
        <v>166</v>
      </c>
      <c r="GL14" s="77" t="s">
        <v>167</v>
      </c>
      <c r="GM14" s="77" t="s">
        <v>168</v>
      </c>
      <c r="GN14" s="77" t="s">
        <v>169</v>
      </c>
      <c r="GO14" s="77" t="s">
        <v>170</v>
      </c>
      <c r="GP14" s="77" t="s">
        <v>46</v>
      </c>
      <c r="GQ14" s="77" t="s">
        <v>77</v>
      </c>
      <c r="GR14" s="77" t="s">
        <v>78</v>
      </c>
      <c r="GS14" s="77" t="s">
        <v>79</v>
      </c>
      <c r="GT14" s="77" t="s">
        <v>80</v>
      </c>
      <c r="GU14" s="77" t="s">
        <v>81</v>
      </c>
      <c r="GV14" s="77" t="s">
        <v>82</v>
      </c>
      <c r="GW14" s="77" t="s">
        <v>83</v>
      </c>
      <c r="GX14" s="77" t="s">
        <v>22</v>
      </c>
      <c r="GY14" s="77" t="s">
        <v>22</v>
      </c>
      <c r="GZ14" s="77" t="s">
        <v>22</v>
      </c>
      <c r="HA14" s="77" t="s">
        <v>84</v>
      </c>
      <c r="HB14" s="77" t="s">
        <v>85</v>
      </c>
      <c r="HD14" s="77" t="s">
        <v>86</v>
      </c>
      <c r="HE14" s="77" t="s">
        <v>87</v>
      </c>
      <c r="HF14" s="119" t="s">
        <v>88</v>
      </c>
      <c r="HG14" s="119"/>
      <c r="HH14" s="169" t="s">
        <v>89</v>
      </c>
      <c r="HI14" s="169" t="s">
        <v>90</v>
      </c>
      <c r="HJ14" s="169" t="s">
        <v>91</v>
      </c>
      <c r="HK14" s="169" t="s">
        <v>92</v>
      </c>
      <c r="HL14" s="84" t="s">
        <v>93</v>
      </c>
      <c r="HM14" s="169" t="s">
        <v>94</v>
      </c>
      <c r="HN14" s="169" t="s">
        <v>95</v>
      </c>
      <c r="HO14" s="169" t="s">
        <v>96</v>
      </c>
      <c r="HP14" s="169" t="s">
        <v>97</v>
      </c>
      <c r="HQ14" s="169" t="s">
        <v>98</v>
      </c>
      <c r="HR14" s="169" t="s">
        <v>99</v>
      </c>
      <c r="HS14" s="169" t="s">
        <v>60</v>
      </c>
      <c r="HT14" s="169" t="s">
        <v>61</v>
      </c>
      <c r="HU14" s="169" t="s">
        <v>62</v>
      </c>
      <c r="HV14" s="170" t="s">
        <v>63</v>
      </c>
      <c r="HW14" s="171"/>
      <c r="HX14" s="83" t="s">
        <v>64</v>
      </c>
      <c r="HY14" s="83" t="s">
        <v>65</v>
      </c>
      <c r="HZ14" s="83" t="s">
        <v>66</v>
      </c>
      <c r="IA14" s="83" t="s">
        <v>67</v>
      </c>
      <c r="IB14" s="84" t="s">
        <v>68</v>
      </c>
      <c r="IC14" s="85" t="s">
        <v>69</v>
      </c>
      <c r="ID14" s="85" t="s">
        <v>70</v>
      </c>
      <c r="IE14" s="85" t="s">
        <v>69</v>
      </c>
      <c r="IF14" s="85" t="s">
        <v>71</v>
      </c>
      <c r="IG14" s="85" t="s">
        <v>71</v>
      </c>
      <c r="IH14" s="84" t="s">
        <v>72</v>
      </c>
      <c r="II14" s="77" t="s">
        <v>73</v>
      </c>
      <c r="IJ14" s="77" t="s">
        <v>74</v>
      </c>
      <c r="IK14" s="84" t="s">
        <v>75</v>
      </c>
      <c r="IL14" s="86" t="s">
        <v>82</v>
      </c>
      <c r="IM14" s="83" t="s">
        <v>81</v>
      </c>
    </row>
    <row r="15" spans="1:247" s="80" customFormat="1">
      <c r="A15" s="163" t="s">
        <v>183</v>
      </c>
      <c r="B15" s="163" t="s">
        <v>184</v>
      </c>
      <c r="C15" s="98">
        <v>2</v>
      </c>
      <c r="D15" s="175">
        <v>1012</v>
      </c>
      <c r="E15" s="119">
        <f ca="1">BP15-BX15</f>
        <v>-8.6355350625640925E-3</v>
      </c>
      <c r="F15" s="176">
        <v>51.5</v>
      </c>
      <c r="G15" s="176">
        <v>1.19</v>
      </c>
      <c r="H15" s="176">
        <v>19.2</v>
      </c>
      <c r="I15" s="176">
        <v>8.6999999999999993</v>
      </c>
      <c r="J15" s="176">
        <v>0.19</v>
      </c>
      <c r="K15" s="176">
        <v>4.9800000000000004</v>
      </c>
      <c r="L15" s="176">
        <v>10</v>
      </c>
      <c r="M15" s="176">
        <v>3.72</v>
      </c>
      <c r="N15" s="176">
        <v>0.42</v>
      </c>
      <c r="O15" s="176">
        <v>0</v>
      </c>
      <c r="P15" s="176">
        <v>0.14000000000000001</v>
      </c>
      <c r="Q15" s="176">
        <v>6.2</v>
      </c>
      <c r="R15" s="177">
        <f t="shared" ref="R15:R17" ca="1" si="4">0.7996+15.347*(AJ15/10)^0.5-0.00233*(AI15-273.15)+0.06248*(N15+M15)</f>
        <v>4.8457944469974388</v>
      </c>
      <c r="S15" s="67"/>
      <c r="T15" s="176">
        <v>50.3</v>
      </c>
      <c r="U15" s="176">
        <v>0.73</v>
      </c>
      <c r="V15" s="176">
        <v>4.12</v>
      </c>
      <c r="W15" s="176">
        <v>5.83</v>
      </c>
      <c r="X15" s="176">
        <v>0</v>
      </c>
      <c r="Y15" s="176">
        <v>15</v>
      </c>
      <c r="Z15" s="176">
        <v>22.7</v>
      </c>
      <c r="AA15" s="176">
        <v>0.24</v>
      </c>
      <c r="AB15" s="176">
        <v>0</v>
      </c>
      <c r="AC15" s="176">
        <v>0.28000000000000003</v>
      </c>
      <c r="AE15" s="178">
        <f ca="1">10^4/(7.53-0.14*FN15+0.07*Q15-14.9*DJ15*DD15-0.08*LN(DE15)-3.62*(DK15+DL15)-1.1*DI15/(DI15+DG15)-0.18*LN(FJ15)-0.027*AG15)</f>
        <v>1289.2408589429026</v>
      </c>
      <c r="AF15" s="179">
        <f ca="1">AE15-273.15</f>
        <v>1016.0908589429026</v>
      </c>
      <c r="AG15" s="179">
        <f ca="1">-26.2712+39.16138*AE15*FM15/10^4-4.21676*LN(FL15)+78.43463*DF15+393.8126*(DK15+DL15)^2</f>
        <v>1.5837308153621108</v>
      </c>
      <c r="AH15" s="175"/>
      <c r="AI15" s="180">
        <f ca="1">AY15</f>
        <v>1410.5962433643192</v>
      </c>
      <c r="AJ15" s="180">
        <f ca="1">BA15</f>
        <v>1.7596442345133916</v>
      </c>
      <c r="AK15" s="180"/>
      <c r="AL15" s="180">
        <f t="shared" ref="AL15:AM18" ca="1" si="5">BC15</f>
        <v>1388.3814457049828</v>
      </c>
      <c r="AM15" s="180">
        <f t="shared" ca="1" si="5"/>
        <v>0.45396961058632002</v>
      </c>
      <c r="AN15" s="181"/>
      <c r="AO15" s="180">
        <f ca="1">10^4/(7.53-0.14*FN15+0.07*Q15-14.9*DJ15*DD15-0.08*LN(DE15)-3.62*(DK15+DL15)-1.1*DI15/(DI15+DG15)-0.18*LN(FJ15)-0.027*AQ15)</f>
        <v>1267.1556703021745</v>
      </c>
      <c r="AP15" s="180">
        <f t="shared" ref="AP15:AP18" ca="1" si="6">AO15-273.15</f>
        <v>994.00567030217451</v>
      </c>
      <c r="AQ15" s="180">
        <f ca="1">IF(ABS(FE15)&gt;0,-54.3+299*(AO15)/10^4+36.4*(AO15)*FM15/10^4+367*DK15*DF15,0)</f>
        <v>-3.4232199032547186</v>
      </c>
      <c r="AR15" s="180"/>
      <c r="AS15" s="180">
        <f ca="1">10^4/(6.39+0.076*Q15-5.55*DJ15*DD15-0.386*LN(DI15)-0.046*AU15+2.2*10^-4*(AU15^2))</f>
        <v>1288.8215935929582</v>
      </c>
      <c r="AT15" s="180">
        <f t="shared" ref="AT15:AT18" ca="1" si="7">AS15-273.15</f>
        <v>1015.6715935929582</v>
      </c>
      <c r="AU15" s="182">
        <f ca="1">-54.3+299*(AS15)/10^4+36.4*(AS15)*FM15/10^4+367*DK15*DF15</f>
        <v>-2.6403762876844699</v>
      </c>
      <c r="AW15" s="182">
        <f>IF(ABS(FE15)&gt;0,10^4/(6.73-0.26*FN15-0.86*LN(FP15)+0.52*LN(DJ15)),0)</f>
        <v>1403.3541688642288</v>
      </c>
      <c r="AX15" s="182">
        <f>IF(AW15&gt;0,AW15-273.15,0)</f>
        <v>1130.2041688642289</v>
      </c>
      <c r="AY15" s="182">
        <f ca="1">IF(ABS(FE15)&gt;0,10^4/(6.59-0.16*FN15-0.65*LN(FP15)+0.23*LN(DJ15)-0.02*BA15),0)</f>
        <v>1410.5962433643192</v>
      </c>
      <c r="AZ15" s="182">
        <f ca="1">IF(AY15&gt;0,AY15-273.15,0)</f>
        <v>1137.4462433643193</v>
      </c>
      <c r="BA15" s="182">
        <f ca="1">IF(ABS(FE15)&gt;0,-54.3+299*(AY15)/10^4+36.4*(AY15)*FM15/10^4+367*DK15*DF15,0)</f>
        <v>1.7596442345133916</v>
      </c>
      <c r="BB15" s="182"/>
      <c r="BC15" s="182">
        <f ca="1">IF(ABS(FE15)&gt;0,10^4/(4.6-0.437*FO15-0.654*LN(FP15)-0.326*LN(DK15)-0.92*LN(DD15)+0.274*LN(FE15)-0.00632*BD15),0)</f>
        <v>1388.3814457049828</v>
      </c>
      <c r="BD15" s="182">
        <f ca="1">IF(ABS(FE15)&gt;0,-88.3+0.00282*(BC15)*FM15+0.0219*(BC15)-25.1*LN(DJ15*DD15)+12.4*LN(DJ15)+7.03*FP15,0)</f>
        <v>0.45396961058632002</v>
      </c>
      <c r="BE15" s="182">
        <f ca="1">BC15-273.15</f>
        <v>1115.2314457049829</v>
      </c>
      <c r="BF15" s="182"/>
      <c r="BG15" s="182">
        <f ca="1">-48.7+271.3*AI15/10^4+31.96*(AI15/10^4)*FM15-8.2*LN(DG15)+4.6*LN(DI15)-0.96*LN(DL15)-2.2*LN(FL15)-31*FP15+56.2*(DK15+DL15)+0.76*Q15</f>
        <v>5.7133563403214911</v>
      </c>
      <c r="BH15" s="182">
        <f ca="1">-40.73+358*AI15/10^4+21.7*(AI15/10^4)*FM15-106*DJ15-166*(DK15+DL15)^2-50.2*DD15*(DG15+DI15)-3.2*LN(FL15)-2.2*LN(FJ15)+0.86*LN(ET15)+0.4*Q15</f>
        <v>7.2344104799515776</v>
      </c>
      <c r="BI15" s="182">
        <f ca="1">-273.15+10^4/(7.53+0.07*Q15-1.1*FP15-14.9*DJ15*DD15-0.08*LN(DE15)-3.62*(DK15+DL15)-0.18*LN(FJ15)-0.026*AJ15-0.14*FO15)</f>
        <v>1016.5880340579228</v>
      </c>
      <c r="BJ15" s="182">
        <f ca="1">-273.15+10^4/(6.39+0.076*Q15-5.55*DJ15*DD15-0.386*LN(DI15)-0.046*FR15+2.2*10^-4*AJ15^2)</f>
        <v>1050.3414439809308</v>
      </c>
      <c r="BK15" s="182">
        <f ca="1">-273.15+10^4/(6.39+0.076*Q15-5.55*(DJ15*DD15)-0.386*LN(DI15)-0.046*AJ15+0.00022*AJ15^2)</f>
        <v>1050.3414439809308</v>
      </c>
      <c r="BL15" s="182"/>
      <c r="BM15" s="182">
        <f ca="1">10^4/(3.12-0.0259*BD15-0.37*LN(DI15/(DI15+DG15))+0.47*LN(DJ15*(DI15+DG15)*DD15^2)-0.78*LN((DI15+DG15)^2*DD15^2)-0.34*LN(DJ15*DF15^2*DD15))-273.15</f>
        <v>1151.4905101457266</v>
      </c>
      <c r="BN15" s="181"/>
      <c r="BO15" s="183">
        <f ca="1">EXP(-9.8+0.24*LN(DJ15*(DG15+DI15)*DD15^2)+17558/AE15+8.7*LN(AE15/1670)-4.61*10^3*(FJ15^2/AE15))</f>
        <v>1.1514419075560551</v>
      </c>
      <c r="BP15" s="183">
        <f ca="1">EXP(-0.482-0.439*LN(DD15)+101.03*(DK15+DL15)^3-51.69*AG15/AE15-3742.5*FJ15^2/AE15)</f>
        <v>0.81130306805535424</v>
      </c>
      <c r="BQ15" s="183">
        <f ca="1">EXP(-6.96+18438/AE15+8*LN(AE15/1670)+0.66*LN((DG15+DI15)^2*DD15^2)-5.1*10^3*(FI15^2/AE15)+1.81*LN(DD15))</f>
        <v>9.4631397596101688E-2</v>
      </c>
      <c r="BR15" s="183">
        <f ca="1">EXP(2.58+0.12*AJ15/AO15-9*10^-7*AJ15^2/AO15+0.78*LN(DJ15*DF15^2*DD15)-4.3*10^3*(FI15^2/AO15))</f>
        <v>1.0752143355776364E-2</v>
      </c>
      <c r="BS15" s="183">
        <f ca="1">EXP(-1.06+0.23*AJ15/AO15-6*10^-7*AJ15^2/AO15+1.02*LN(DK15*DF15*DD15^2)-0.8*LN(DF15)-2.2*LN(DD15))</f>
        <v>1.7420386751389298E-2</v>
      </c>
      <c r="BT15" s="183">
        <f ca="1">EXP(5.1+0.52*LN(DJ15*DE15*DF15^2)+2.04*10^3*FI15^2/AO15-6.2*DD15+42.5*DK15*DF15-45.1*(DG15+DI15)*DF15)</f>
        <v>6.2338065534168062E-2</v>
      </c>
      <c r="BU15" s="183">
        <f>EXP(12.8)*DJ15*DM15^2*DD15</f>
        <v>0</v>
      </c>
      <c r="BV15" s="182">
        <f ca="1">SUM(BP15:BU15)</f>
        <v>0.99644506129278976</v>
      </c>
      <c r="BW15" s="181"/>
      <c r="BX15" s="183">
        <f>FI15</f>
        <v>0.81993860311791833</v>
      </c>
      <c r="BY15" s="183">
        <f t="shared" si="0"/>
        <v>9.7220166294938348E-2</v>
      </c>
      <c r="BZ15" s="183">
        <f t="shared" si="1"/>
        <v>3.6816947960874952E-2</v>
      </c>
      <c r="CA15" s="183">
        <f t="shared" si="2"/>
        <v>1.7330029101953831E-2</v>
      </c>
      <c r="CB15" s="183">
        <f t="shared" si="3"/>
        <v>4.4938151136855245E-2</v>
      </c>
      <c r="CC15" s="183">
        <f t="shared" si="3"/>
        <v>4.1221283020399834E-3</v>
      </c>
      <c r="CD15" s="183">
        <f>SUM(BX15:CC15)</f>
        <v>1.0203660259145808</v>
      </c>
      <c r="CE15" s="183">
        <f>(EU15/EW15)/($G$8*DG15/DI15)</f>
        <v>0.22247816091954029</v>
      </c>
      <c r="CF15" s="181"/>
      <c r="CG15" s="182">
        <f ca="1">3205-5.62*EW15+83.2*EY15+68.2*FL15+2.52*LN(ES15)-51.1*FL15^2+34.8*FJ15^2+0.384*(AI15)-518*LN(AI15)</f>
        <v>1.5605645660134542</v>
      </c>
      <c r="CH15" s="182">
        <f ca="1">1458+0.197*(AI15)-241*LN(AI15)+0.453*Q15+55.5*ES15+8.05*EU15-277*EZ15+18*FE15+44.1*FI15+2.2*LN(FE15)-27.7*ET15^2+97.3*GL15^2+30.7*GN15^2-27.6*FI15^2</f>
        <v>3.71661791706941</v>
      </c>
      <c r="CI15" s="182">
        <f ca="1">-57.9+0.0475*(AI15)-40.6*DG15-47.7*FF15+0.67*Q15-153*DJ15*DD15+6.89*(ET15/DF15)</f>
        <v>7.5741126487404928</v>
      </c>
      <c r="CJ15" s="182">
        <f ca="1">-273.15+(93100+544*AJ15)/(61.1+36.6*EQ15+10.9*EU15-0.95*(ET15+FA15-EY15-EZ15)+0.395*(LN(FW15))^2)</f>
        <v>1141.4464928566354</v>
      </c>
      <c r="CK15" s="184">
        <f ca="1">EXP(-0.107-1719/AI15)</f>
        <v>0.26563459557023961</v>
      </c>
      <c r="CL15" s="79"/>
      <c r="CM15" s="182">
        <f>698.443+4.985*ER15-26.826*GM15-3.764*FC15+53.989*ES15+3.948*EQ15+14.651*FA15-700.431*EX15-666.629*EY15-682.848*GN15-691.138*GL15-688.384*EV15-6.267*GN15^2-4.144*GL15^2</f>
        <v>0.19493110653448706</v>
      </c>
      <c r="CN15" s="182">
        <f>771.48+4.956*ER15-28.756*GM15-5.345*FC15+56.904*ES15+1.848*EQ15+14.827*FA15-773.74*EX15-736.57*EY15-754.81*GN15-763.2*GL15-759.66*EV15-1.185*GN15^2-1.876*GL15^2</f>
        <v>-7.9605295924928446E-2</v>
      </c>
      <c r="CO15" s="182">
        <f ca="1">-273.15+(23166+39.28*AJ15)/(13.25+15.35*EQ15+4.5*EU15-1.55*(ET15-FA15-EY15-EZ15)+(LN(IH15))^2)</f>
        <v>817.96807994744438</v>
      </c>
      <c r="CP15" s="185"/>
      <c r="CQ15" s="80">
        <f t="shared" ref="CQ15:CR18" si="8">F15/CQ$10</f>
        <v>0.85712906699420643</v>
      </c>
      <c r="CR15" s="80">
        <f t="shared" si="8"/>
        <v>1.4897569818274685E-2</v>
      </c>
      <c r="CS15" s="80">
        <f>H15*2/CS$10</f>
        <v>0.37661458793067937</v>
      </c>
      <c r="CT15" s="80">
        <f t="shared" ref="CT15:CW18" si="9">I15/CT$10</f>
        <v>0.12109166221272046</v>
      </c>
      <c r="CU15" s="80">
        <f t="shared" si="9"/>
        <v>2.6784140969162997E-3</v>
      </c>
      <c r="CV15" s="80">
        <f t="shared" si="9"/>
        <v>0.12355971060231638</v>
      </c>
      <c r="CW15" s="80">
        <f t="shared" si="9"/>
        <v>0.1783249580044724</v>
      </c>
      <c r="CX15" s="80">
        <f t="shared" ref="CX15:DA18" si="10">M15*2/CX$10</f>
        <v>0.12004085261274401</v>
      </c>
      <c r="CY15" s="80">
        <f t="shared" si="10"/>
        <v>8.917576117881864E-3</v>
      </c>
      <c r="CZ15" s="80">
        <f t="shared" si="10"/>
        <v>0</v>
      </c>
      <c r="DA15" s="80">
        <f t="shared" si="10"/>
        <v>1.9727062006383114E-3</v>
      </c>
      <c r="DB15" s="80">
        <f>SUM(CQ15:DA15)</f>
        <v>1.8052271045908503</v>
      </c>
      <c r="DD15" s="80">
        <f t="shared" ref="DD15:DN18" si="11">(CQ15/$DB15)</f>
        <v>0.47480400932073991</v>
      </c>
      <c r="DE15" s="80">
        <f t="shared" si="11"/>
        <v>8.2524629618006863E-3</v>
      </c>
      <c r="DF15" s="80">
        <f t="shared" si="11"/>
        <v>0.20862449216107798</v>
      </c>
      <c r="DG15" s="80">
        <f t="shared" si="11"/>
        <v>6.7078353690111212E-2</v>
      </c>
      <c r="DH15" s="80">
        <f t="shared" si="11"/>
        <v>1.4836992476485969E-3</v>
      </c>
      <c r="DI15" s="80">
        <f t="shared" si="11"/>
        <v>6.8445521501473816E-2</v>
      </c>
      <c r="DJ15" s="80">
        <f t="shared" si="11"/>
        <v>9.8782561790135129E-2</v>
      </c>
      <c r="DK15" s="80">
        <f t="shared" si="11"/>
        <v>6.6496260945489702E-2</v>
      </c>
      <c r="DL15" s="80">
        <f t="shared" si="11"/>
        <v>4.9398638515916853E-3</v>
      </c>
      <c r="DM15" s="80">
        <f t="shared" si="11"/>
        <v>0</v>
      </c>
      <c r="DN15" s="80">
        <f t="shared" si="11"/>
        <v>1.0927745299311909E-3</v>
      </c>
      <c r="DO15" s="80">
        <f>SUM(DD15:DN15)</f>
        <v>0.99999999999999989</v>
      </c>
      <c r="DP15" s="80">
        <f t="shared" ref="DP15:DP18" si="12">100*DI15/(DI15+DG15)</f>
        <v>50.504401091479224</v>
      </c>
      <c r="DQ15" s="80">
        <f t="shared" ref="DQ15:DZ18" si="13">T15/CQ$10</f>
        <v>0.83715712756909877</v>
      </c>
      <c r="DR15" s="80">
        <f t="shared" si="13"/>
        <v>9.1388453507063195E-3</v>
      </c>
      <c r="DS15" s="80">
        <f t="shared" si="13"/>
        <v>4.0407606830062476E-2</v>
      </c>
      <c r="DT15" s="80">
        <f t="shared" si="13"/>
        <v>8.114533226438625E-2</v>
      </c>
      <c r="DU15" s="80">
        <f t="shared" si="13"/>
        <v>0</v>
      </c>
      <c r="DV15" s="80">
        <f t="shared" si="13"/>
        <v>0.37216780301902519</v>
      </c>
      <c r="DW15" s="80">
        <f t="shared" si="13"/>
        <v>0.40479765467015233</v>
      </c>
      <c r="DX15" s="80">
        <f t="shared" si="13"/>
        <v>3.8722855681530325E-3</v>
      </c>
      <c r="DY15" s="80">
        <f t="shared" si="13"/>
        <v>0</v>
      </c>
      <c r="DZ15" s="80">
        <f t="shared" si="13"/>
        <v>1.8421270778206586E-3</v>
      </c>
      <c r="EA15" s="80">
        <f>SUM(DQ15:DZ15)</f>
        <v>1.7505287823494051</v>
      </c>
      <c r="EC15" s="80">
        <f t="shared" ref="EC15:ED17" si="14">DQ15*2</f>
        <v>1.6743142551381975</v>
      </c>
      <c r="ED15" s="80">
        <f t="shared" si="14"/>
        <v>1.8277690701412639E-2</v>
      </c>
      <c r="EE15" s="80">
        <f>DS15*3</f>
        <v>0.12122282049018743</v>
      </c>
      <c r="EF15" s="80">
        <f t="shared" ref="EF15:EK17" si="15">DT15</f>
        <v>8.114533226438625E-2</v>
      </c>
      <c r="EG15" s="80">
        <f t="shared" si="15"/>
        <v>0</v>
      </c>
      <c r="EH15" s="80">
        <f t="shared" si="15"/>
        <v>0.37216780301902519</v>
      </c>
      <c r="EI15" s="80">
        <f t="shared" si="15"/>
        <v>0.40479765467015233</v>
      </c>
      <c r="EJ15" s="80">
        <f t="shared" si="15"/>
        <v>3.8722855681530325E-3</v>
      </c>
      <c r="EK15" s="80">
        <f t="shared" si="15"/>
        <v>0</v>
      </c>
      <c r="EL15" s="80">
        <f>DZ15*3</f>
        <v>5.5263812334619758E-3</v>
      </c>
      <c r="EM15" s="80">
        <f>SUM(EC15:EL15)</f>
        <v>2.6813242230849763</v>
      </c>
      <c r="EN15" s="80">
        <f>6/EM15</f>
        <v>2.2377002931397634</v>
      </c>
      <c r="EP15" s="80">
        <f t="shared" ref="EP15:EQ18" si="16">DQ15*$EN15</f>
        <v>1.8733067497654146</v>
      </c>
      <c r="EQ15" s="80">
        <f t="shared" si="16"/>
        <v>2.0449996920234494E-2</v>
      </c>
      <c r="ER15" s="80">
        <f>2-EP15</f>
        <v>0.12669325023458544</v>
      </c>
      <c r="ES15" s="80">
        <f>IF(ET15-ER15&lt;0,0,ET15-ER15)</f>
        <v>5.4146977062828783E-2</v>
      </c>
      <c r="ET15" s="80">
        <f>DS15*$EN15*2</f>
        <v>0.18084022729741422</v>
      </c>
      <c r="EU15" s="80">
        <f t="shared" ref="EU15:EX18" si="17">DT15*$EN15</f>
        <v>0.18157893379494061</v>
      </c>
      <c r="EV15" s="80">
        <f t="shared" si="17"/>
        <v>0</v>
      </c>
      <c r="EW15" s="80">
        <f t="shared" si="17"/>
        <v>0.83280000191285442</v>
      </c>
      <c r="EX15" s="80">
        <f t="shared" si="17"/>
        <v>0.90581583051768855</v>
      </c>
      <c r="EY15" s="80">
        <f t="shared" ref="EY15:FA18" si="18">DX15*$EN15*2</f>
        <v>1.7330029101953831E-2</v>
      </c>
      <c r="EZ15" s="80">
        <f t="shared" si="18"/>
        <v>0</v>
      </c>
      <c r="FA15" s="80">
        <f t="shared" si="18"/>
        <v>8.2442566040799668E-3</v>
      </c>
      <c r="FB15" s="80">
        <f>EP15+EQ15+ET15+EU15+EV15+EW15+EX15+EY15+EZ15+FA15</f>
        <v>4.0203660259145799</v>
      </c>
      <c r="FC15" s="80">
        <f>IF(EY15+ER15-ES15-2*EQ15-FA15&gt;0,EY15+ER15-ES15-2*EQ15-FA15,0)</f>
        <v>4.0732051829161536E-2</v>
      </c>
      <c r="FD15" s="80">
        <f>12-48/FB15</f>
        <v>6.0788572333875024E-2</v>
      </c>
      <c r="FE15" s="80">
        <f>IF(EY15&lt;ES15,EY15,ES15)</f>
        <v>1.7330029101953831E-2</v>
      </c>
      <c r="FF15" s="80">
        <f>IF(ES15&gt;EY15,ES15-EY15,0)</f>
        <v>3.6816947960874952E-2</v>
      </c>
      <c r="FG15" s="80">
        <f>IF(ER15&gt;FF15,(ER15-FF15)/2,0)</f>
        <v>4.4938151136855245E-2</v>
      </c>
      <c r="FH15" s="80">
        <f>FA15/2</f>
        <v>4.1221283020399834E-3</v>
      </c>
      <c r="FI15" s="185">
        <f>IF(EX15-FG15-FF15-FH15&gt;0,EX15-FG15-FF15-FH15,0)</f>
        <v>0.81993860311791833</v>
      </c>
      <c r="FJ15" s="80">
        <f>((EU15+EW15)-FI15)/2</f>
        <v>9.7220166294938348E-2</v>
      </c>
      <c r="FK15" s="80">
        <f>SUM(FE15:FJ15)</f>
        <v>1.0203660259145808</v>
      </c>
      <c r="FL15" s="80">
        <f>EX15-FF15-FG15-FH15</f>
        <v>0.81993860311791833</v>
      </c>
      <c r="FM15" s="80">
        <f>LN(FE15/(DD15^2*DK15*DF15))</f>
        <v>1.7122207386356436</v>
      </c>
      <c r="FN15" s="80">
        <f>LN(FE15*DJ15*(DG15+DI15)/(FI15*DK15*DF15))</f>
        <v>-3.8924014331081289</v>
      </c>
      <c r="FO15" s="80">
        <f>LN((FE15*DJ15*(DG15+DI15))/(DK15*DF15*FL15))</f>
        <v>-3.8924014331081289</v>
      </c>
      <c r="FP15" s="80">
        <f>DI15/(DI15+DG15)</f>
        <v>0.50504401091479223</v>
      </c>
      <c r="FQ15" s="186">
        <f t="shared" ref="FQ15:FR18" ca="1" si="19">AI15</f>
        <v>1410.5962433643192</v>
      </c>
      <c r="FR15" s="186">
        <f t="shared" ca="1" si="19"/>
        <v>1.7596442345133916</v>
      </c>
      <c r="FS15" s="80">
        <f ca="1">(FQ15)/10^4</f>
        <v>0.14105962433643193</v>
      </c>
      <c r="FT15" s="185">
        <f ca="1">LN(ABS(BG15-FR15))</f>
        <v>1.3746549112245701</v>
      </c>
      <c r="FU15" s="185">
        <f ca="1">LN(ABS(BJ15-FQ15))</f>
        <v>5.8868115571597679</v>
      </c>
      <c r="FV15" s="80">
        <f>1458+0.45*Q15+0.197*(D15+273.15)-241*LN(D15+273.15)+55.5*ES15+8.05*EU15-276.6*EZ15+18.01*FE15+44.09*FL15+2.17*LN(FE15)+97.3*GL15^2+30.38*GN15^2-27.59*FL15^2-17.7*ET15^2</f>
        <v>1.8776218204719637</v>
      </c>
      <c r="FW15" s="80">
        <f>(1-EX15-EY15-EZ15)*(1-0.5*(ET15+FA15+EY15+EZ15))</f>
        <v>6.8922235400902546E-2</v>
      </c>
      <c r="FX15" s="185">
        <f t="shared" ref="FX15:FX18" si="20">100*DV15/(DV15+DT15)</f>
        <v>82.099496805082822</v>
      </c>
      <c r="FY15" s="185">
        <f>2446.5+0.309*(D15+273.15)-400*LN(D15+273.15)-5.98*EW15-20.5*EY15+112*FE15+61.5*FF15+71.1*FL15+1.66*LN(FL15)-43.5*FL15^2+43*FJ15^2-26.2*ET15^2</f>
        <v>7.3015210453651163</v>
      </c>
      <c r="FZ15" s="185">
        <f>EXP(-0.107-1719/(D15+273.15))</f>
        <v>0.23584344750745048</v>
      </c>
      <c r="GA15" s="185">
        <f>(EU15/EW15)/(DG15/DI15)</f>
        <v>0.22247816091954029</v>
      </c>
      <c r="GB15" s="80">
        <f>EX15+EY15+EV15</f>
        <v>0.92314585961964235</v>
      </c>
      <c r="GC15" s="80">
        <f>ES15+EQ15+FA15+FC15</f>
        <v>0.12357328241630479</v>
      </c>
      <c r="GD15" s="80">
        <f>EXP(0.238*GC15+0.289*GB15-2.3315)</f>
        <v>0.13064123128324104</v>
      </c>
      <c r="GE15" s="80">
        <f>1-EQ15-ES15</f>
        <v>0.92540302601693669</v>
      </c>
      <c r="GF15" s="80">
        <f>(EU15-FC15)+EW15-GE15</f>
        <v>4.8243857861696826E-2</v>
      </c>
      <c r="GG15" s="80">
        <f>EU15-FC15</f>
        <v>0.14084688196577907</v>
      </c>
      <c r="GH15" s="80">
        <f>1-GD15</f>
        <v>0.86935876871675899</v>
      </c>
      <c r="GI15" s="80">
        <f>(GD15*EW15)-(GD15*(1-GB15))+GG15+(1-GB15)</f>
        <v>0.31645872048021251</v>
      </c>
      <c r="GJ15" s="80">
        <f>-GG15*(1-GB15)</f>
        <v>-1.0824666038733648E-2</v>
      </c>
      <c r="GK15" s="80">
        <f>(-GI15+SQRT(GI15^2-4*GH15*GJ15))/2*GH15</f>
        <v>2.3794176797551657E-2</v>
      </c>
      <c r="GL15" s="80">
        <f>GK15</f>
        <v>2.3794176797551657E-2</v>
      </c>
      <c r="GM15" s="80">
        <f>GG15-GL15</f>
        <v>0.11705270516822741</v>
      </c>
      <c r="GN15" s="80">
        <f>1-GB15-GL15</f>
        <v>5.3059963582805993E-2</v>
      </c>
      <c r="GO15" s="80">
        <f>EW15-GN15</f>
        <v>0.77974003833004846</v>
      </c>
      <c r="GP15" s="80">
        <f>IF(1-GB15&gt;0,EX15,1-EY15-EZ15-EV15)</f>
        <v>0.90581583051768855</v>
      </c>
      <c r="GQ15" s="80">
        <f>IF(1-GB15&gt;0,EY15,IF(EX15&gt;0,EY15,1-EV15))</f>
        <v>1.7330029101953831E-2</v>
      </c>
      <c r="GR15" s="80">
        <f>11.864*GM15+9.107*FC15-18.375*ES15+11.794*EQ15-1.4925*FA15+439.97*EX15+419.68*EY15+431.72*GN15+432.56*GL15+428.03*EV15-28.652*GN15^2-12.741*GL15^2</f>
        <v>439.91002708917955</v>
      </c>
      <c r="GS15" s="80">
        <f>-0.3085*ER15+0.813*GM15-0.4173*FC15-2.209*ES15-1.0864*EQ15-0.8001*FA15+11.931*EX15+11.288*EY15+11.432*GN15+11.885*GL15+12.038*EV15+2.4355*GN15^2-1.661*GL15^2</f>
        <v>11.788859467150782</v>
      </c>
      <c r="GT15" s="80">
        <f>3*(FC15+ES15+FA15)+2*(GM15+GO15)+4*EQ15</f>
        <v>2.1847553311657006</v>
      </c>
      <c r="GU15" s="80">
        <f>32.9*(0.75*GT15/6)*(10^-6)</f>
        <v>8.9848062994189425E-6</v>
      </c>
      <c r="GV15" s="80">
        <f>7500*GT15/((1.4133+0.05601*GS15)^3)</f>
        <v>1837.7772740133462</v>
      </c>
      <c r="GW15" s="80">
        <f>GS15*((2+3*GU15*(D15-25))/(2-3*GU15*(D15-25))-1)</f>
        <v>0.31785911605889772</v>
      </c>
      <c r="GX15" s="185">
        <f ca="1">-57.9+0.0475*(FQ15+273.15)-40.6*DG15-47.7*FF15+0.67*Q15-153*DD15*DJ15+6.89*((ER15+ES15)/DF15)</f>
        <v>20.548737648740492</v>
      </c>
      <c r="GY15" s="81" t="e">
        <f>#REF!</f>
        <v>#REF!</v>
      </c>
      <c r="GZ15" s="81" t="e">
        <f>#REF!</f>
        <v>#REF!</v>
      </c>
      <c r="HA15" s="81">
        <f>M15+N15</f>
        <v>4.1400000000000006</v>
      </c>
      <c r="HB15" s="81">
        <f>6*10^-5*(F15^3)-0.0166*(F15^2)+1.5751*F15-39.978</f>
        <v>5.3077524999999994</v>
      </c>
      <c r="HC15" s="81" t="e">
        <f>IF(HA15&gt;HB15,GZ15,GY15)</f>
        <v>#REF!</v>
      </c>
      <c r="HD15" s="80">
        <f t="shared" ref="HD15:HE17" si="21">GR15</f>
        <v>439.91002708917955</v>
      </c>
      <c r="HE15" s="80">
        <f t="shared" si="21"/>
        <v>11.788859467150782</v>
      </c>
      <c r="HF15" s="81">
        <f>771.475-(1.323*HD15)-(16.064*HE15)</f>
        <v>9.7795680705360155E-2</v>
      </c>
      <c r="HG15" s="81"/>
      <c r="HH15" s="82">
        <f>GL15+GM15+EV15</f>
        <v>0.14084688196577907</v>
      </c>
      <c r="HI15" s="82">
        <f>GN15+GO15</f>
        <v>0.83280000191285442</v>
      </c>
      <c r="HJ15" s="82">
        <f>IF(EY15&gt;FC15,FC15,EY15)</f>
        <v>1.7330029101953831E-2</v>
      </c>
      <c r="HK15" s="82">
        <f>EY15-HJ15</f>
        <v>0</v>
      </c>
      <c r="HL15" s="82">
        <f>FC15-HJ15</f>
        <v>2.3402022727207705E-2</v>
      </c>
      <c r="HM15" s="82">
        <f>IF(HK15&gt;ES15,ES15,HK15)</f>
        <v>0</v>
      </c>
      <c r="HN15" s="82">
        <f>HK15-HM15</f>
        <v>0</v>
      </c>
      <c r="HO15" s="82">
        <f>ES15-HM15</f>
        <v>5.4146977062828783E-2</v>
      </c>
      <c r="HP15" s="82">
        <f>HO15+FA15+2*EQ15</f>
        <v>0.10329122750737774</v>
      </c>
      <c r="HQ15" s="82">
        <f>HH15/(HH15+HI15)</f>
        <v>0.14465910002679763</v>
      </c>
      <c r="HR15" s="82">
        <f>(EX15-HP15-HL15)*(1-HQ15)</f>
        <v>0.66641540900879304</v>
      </c>
      <c r="HS15" s="82">
        <f>(EX15-HP15-HL15)*HQ15</f>
        <v>0.11270717127431008</v>
      </c>
      <c r="HT15" s="82">
        <f>(1-HJ15-HM15-HL15-HP15-HR15-HS15)*(1-HQ15)</f>
        <v>6.5736489599601933E-2</v>
      </c>
      <c r="HU15" s="82">
        <f>(1-HJ15-HM15-HL15-HP15-HR15-HS15)*HQ15</f>
        <v>1.1117650780755703E-2</v>
      </c>
      <c r="HV15" s="82">
        <f>HM15+HJ15</f>
        <v>1.7330029101953831E-2</v>
      </c>
      <c r="HW15" s="82"/>
      <c r="HX15" s="187">
        <f>(-0.000000872*HR15)-(0.000000749*HT15)-(0.000000993*HS15)-(0.00000087*(HP15+HL15))-(0.00000086*HV15)-(0.00000087*HU15)</f>
        <v>-8.770683973521862E-7</v>
      </c>
      <c r="HY15" s="187">
        <f>(0.000000000001707*HR15)+(0.000000000000447*HT15)+(0.0000000000014835*HS15)+(0.000000000002171*(HP15+HL15))+(0.000000000002149*HV15)+(0.0000000000002235*HU15)</f>
        <v>1.6489344763633537E-12</v>
      </c>
      <c r="HZ15" s="187">
        <f>(0.000027795*HR15)+(0.000024656*HT15)+(0.000031371*HS15)+(0.00002225*(HP15+HL15))+(0.000023118*HV15)+(0.000028232*HU15)</f>
        <v>2.7212985798354358E-5</v>
      </c>
      <c r="IA15" s="187">
        <f>(0.0000000083082*HR15)+(0.000000007467*HT15)+(0.0000000083672*HS15)+(0.0000000052863*(HP15+HL15))+(0.0000000025785*HV15)+(0.000000007526*HU15)</f>
        <v>7.7687057609839341E-9</v>
      </c>
      <c r="IB15" s="82">
        <f>GT15</f>
        <v>2.1847553311657006</v>
      </c>
      <c r="IC15" s="82" t="e">
        <f ca="1">HD15+HD15*(HX15*(ID15-0.001)+HY15*(ID15-0.001)^2+HZ15*(D15-25)+IA15*(D15-25)^2)</f>
        <v>#REF!</v>
      </c>
      <c r="ID15" s="82" t="e">
        <f ca="1">ID$8+ID$9*IE15+ID$10*#REF!+ID$11*EW15/(EW15+EU15)</f>
        <v>#REF!</v>
      </c>
      <c r="IE15" s="82" t="e">
        <f ca="1">HD15+HD15*(HX15*(IF15-0.001)+HY15*(IF15-0.001)^2+HZ15*(D15-25)+IA15*(D15-25)^2)</f>
        <v>#REF!</v>
      </c>
      <c r="IF15" s="82" t="e">
        <f ca="1">IF$8+IF$9*IE15+IF$10*#REF!+IF$11*(EW15/(EW15+EU15))</f>
        <v>#REF!</v>
      </c>
      <c r="IG15" s="82" t="e">
        <f ca="1">IF(HA15&gt;HB15,IF15,ID15)</f>
        <v>#REF!</v>
      </c>
      <c r="IH15" s="185">
        <f>(1-EX15-EY15-EZ15)*(1-0.5*(ET15+FA15+EY15+EZ15))</f>
        <v>6.8922235400902546E-2</v>
      </c>
      <c r="II15" s="188">
        <f>D15-25</f>
        <v>987</v>
      </c>
      <c r="IJ15" s="188"/>
      <c r="IK15" s="82">
        <f>1.4133+(0.05601*HE15)</f>
        <v>2.0735940187551152</v>
      </c>
      <c r="IL15" s="188">
        <f>(7500*IB15)/IK15^3</f>
        <v>1837.7772740133462</v>
      </c>
      <c r="IM15" s="187">
        <f>0.0000329*(0.75-IB15/6)</f>
        <v>1.2695258267441407E-5</v>
      </c>
    </row>
    <row r="16" spans="1:247" s="80" customFormat="1">
      <c r="A16" s="163" t="s">
        <v>183</v>
      </c>
      <c r="B16" s="163" t="s">
        <v>185</v>
      </c>
      <c r="C16" s="98">
        <v>2</v>
      </c>
      <c r="D16" s="175">
        <v>965</v>
      </c>
      <c r="E16" s="119">
        <f ca="1">BP16-BX16</f>
        <v>6.4751879359012388E-2</v>
      </c>
      <c r="F16" s="176">
        <v>59.1</v>
      </c>
      <c r="G16" s="176">
        <v>0.54</v>
      </c>
      <c r="H16" s="176">
        <v>19.100000000000001</v>
      </c>
      <c r="I16" s="176">
        <v>5.22</v>
      </c>
      <c r="J16" s="176">
        <v>0.19</v>
      </c>
      <c r="K16" s="176">
        <v>3.25</v>
      </c>
      <c r="L16" s="176">
        <v>7.45</v>
      </c>
      <c r="M16" s="176">
        <v>4</v>
      </c>
      <c r="N16" s="176">
        <v>0.88</v>
      </c>
      <c r="O16" s="176">
        <v>0</v>
      </c>
      <c r="P16" s="176">
        <v>0.31</v>
      </c>
      <c r="Q16" s="176">
        <v>6.2</v>
      </c>
      <c r="R16" s="177">
        <f t="shared" ca="1" si="4"/>
        <v>1.0354737905498657</v>
      </c>
      <c r="S16" s="67"/>
      <c r="T16" s="176">
        <v>47.3</v>
      </c>
      <c r="U16" s="176">
        <v>1.75</v>
      </c>
      <c r="V16" s="176">
        <v>7.85</v>
      </c>
      <c r="W16" s="176">
        <v>6.51</v>
      </c>
      <c r="X16" s="176">
        <v>0.14000000000000001</v>
      </c>
      <c r="Y16" s="176">
        <v>13.1</v>
      </c>
      <c r="Z16" s="176">
        <v>22.5</v>
      </c>
      <c r="AA16" s="176">
        <v>0.25</v>
      </c>
      <c r="AB16" s="176">
        <v>0</v>
      </c>
      <c r="AC16" s="176">
        <v>0.22</v>
      </c>
      <c r="AE16" s="178">
        <f ca="1">10^4/(7.53-0.14*FN16+0.07*Q16-14.9*DJ16*DD16-0.08*LN(DE16)-3.62*(DK16+DL16)-1.1*DI16/(DI16+DG16)-0.18*LN(FJ16)-0.027*AG16)</f>
        <v>1254.7612833982253</v>
      </c>
      <c r="AF16" s="179">
        <f ca="1">AE16-273.15</f>
        <v>981.61128339822528</v>
      </c>
      <c r="AG16" s="179">
        <f ca="1">-26.2712+39.16138*AE16*FM16/10^4-4.21676*LN(FL16)+78.43463*DF16+393.8126*(DK16+DL16)^2</f>
        <v>0.89559739579306941</v>
      </c>
      <c r="AH16" s="175"/>
      <c r="AI16" s="180">
        <f ca="1">AY16</f>
        <v>1402.052416091813</v>
      </c>
      <c r="AJ16" s="180">
        <f ca="1">BA16</f>
        <v>0.27853428935678881</v>
      </c>
      <c r="AK16" s="180"/>
      <c r="AL16" s="180">
        <f t="shared" ca="1" si="5"/>
        <v>1362.1537221084441</v>
      </c>
      <c r="AM16" s="180">
        <f t="shared" ca="1" si="5"/>
        <v>-0.9461725452654921</v>
      </c>
      <c r="AN16" s="181"/>
      <c r="AO16" s="180">
        <f ca="1">10^4/(7.53-0.14*FN16+0.07*Q16-14.9*DJ16*DD16-0.08*LN(DE16)-3.62*(DK16+DL16)-1.1*DI16/(DI16+DG16)-0.18*LN(FJ16)-0.027*AQ16)</f>
        <v>1226.6508552912815</v>
      </c>
      <c r="AP16" s="180">
        <f t="shared" ca="1" si="6"/>
        <v>953.50085529128148</v>
      </c>
      <c r="AQ16" s="180">
        <f ca="1">IF(ABS(FE16)&gt;0,-54.3+299*(AO16)/10^4+36.4*(AO16)*FM16/10^4+367*DK16*DF16,0)</f>
        <v>-5.8686832800304467</v>
      </c>
      <c r="AR16" s="180"/>
      <c r="AS16" s="180">
        <f ca="1">10^4/(6.39+0.076*Q16-5.55*DJ16*DD16-0.386*LN(DI16)-0.046*AU16+2.2*10^-4*(AU16^2))</f>
        <v>1233.9614789493078</v>
      </c>
      <c r="AT16" s="180">
        <f t="shared" ca="1" si="7"/>
        <v>960.8114789493078</v>
      </c>
      <c r="AU16" s="182">
        <f ca="1">-54.3+299*(AS16)/10^4+36.4*(AS16)*FM16/10^4+367*DK16*DF16</f>
        <v>-5.6124712258805767</v>
      </c>
      <c r="AW16" s="182">
        <f>IF(ABS(FE16)&gt;0,10^4/(6.73-0.26*FN16-0.86*LN(FP16)+0.52*LN(DJ16)),0)</f>
        <v>1405.9304586470664</v>
      </c>
      <c r="AX16" s="182">
        <f>IF(AW16&gt;0,AW16-273.15,0)</f>
        <v>1132.7804586470666</v>
      </c>
      <c r="AY16" s="182">
        <f ca="1">IF(ABS(FE16)&gt;0,10^4/(6.59-0.16*FN16-0.65*LN(FP16)+0.23*LN(DJ16)-0.02*BA16),0)</f>
        <v>1402.052416091813</v>
      </c>
      <c r="AZ16" s="182">
        <f ca="1">IF(AY16&gt;0,AY16-273.15,0)</f>
        <v>1128.9024160918129</v>
      </c>
      <c r="BA16" s="182">
        <f ca="1">IF(ABS(FE16)&gt;0,-54.3+299*(AY16)/10^4+36.4*(AY16)*FM16/10^4+367*DK16*DF16,0)</f>
        <v>0.27853428935678881</v>
      </c>
      <c r="BB16" s="182"/>
      <c r="BC16" s="182">
        <f ca="1">IF(ABS(FE16)&gt;0,10^4/(4.6-0.437*FO16-0.654*LN(FP16)-0.326*LN(DK16)-0.92*LN(DD16)+0.274*LN(FE16)-0.00632*BD16),0)</f>
        <v>1362.1537221084441</v>
      </c>
      <c r="BD16" s="182">
        <f ca="1">IF(ABS(FE16)&gt;0,-88.3+0.00282*(BC16)*FM16+0.0219*(BC16)-25.1*LN(DJ16*DD16)+12.4*LN(DJ16)+7.03*FP16,0)</f>
        <v>-0.9461725452654921</v>
      </c>
      <c r="BE16" s="182">
        <f ca="1">BC16-273.15</f>
        <v>1089.003722108444</v>
      </c>
      <c r="BF16" s="182"/>
      <c r="BG16" s="182">
        <f ca="1">-48.7+271.3*AI16/10^4+31.96*(AI16/10^4)*FM16-8.2*LN(DG16)+4.6*LN(DI16)-0.96*LN(DL16)-2.2*LN(FL16)-31*FP16+56.2*(DK16+DL16)+0.76*Q16</f>
        <v>5.7957344827642148</v>
      </c>
      <c r="BH16" s="182">
        <f ca="1">-40.73+358*AI16/10^4+21.7*(AI16/10^4)*FM16-106*DJ16-166*(DK16+DL16)^2-50.2*DD16*(DG16+DI16)-3.2*LN(FL16)-2.2*LN(FJ16)+0.86*LN(ET16)+0.4*Q16</f>
        <v>10.171984881891774</v>
      </c>
      <c r="BI16" s="182">
        <f ca="1">-273.15+10^4/(7.53+0.07*Q16-1.1*FP16-14.9*DJ16*DD16-0.08*LN(DE16)-3.62*(DK16+DL16)-0.18*LN(FJ16)-0.026*AJ16-0.14*FO16)</f>
        <v>978.9499824213716</v>
      </c>
      <c r="BJ16" s="182">
        <f ca="1">-273.15+10^4/(6.39+0.076*Q16-5.55*DJ16*DD16-0.386*LN(DI16)-0.046*FR16+2.2*10^-4*AJ16^2)</f>
        <v>1004.628661682765</v>
      </c>
      <c r="BK16" s="182">
        <f ca="1">-273.15+10^4/(6.39+0.076*Q16-5.55*(DJ16*DD16)-0.386*LN(DI16)-0.046*AJ16+0.00022*AJ16^2)</f>
        <v>1004.628661682765</v>
      </c>
      <c r="BL16" s="182"/>
      <c r="BM16" s="182">
        <f ca="1">10^4/(3.12-0.0259*BD16-0.37*LN(DI16/(DI16+DG16))+0.47*LN(DJ16*(DI16+DG16)*DD16^2)-0.78*LN((DI16+DG16)^2*DD16^2)-0.34*LN(DJ16*DF16^2*DD16))-273.15</f>
        <v>1081.0732065728689</v>
      </c>
      <c r="BN16" s="181"/>
      <c r="BO16" s="183">
        <f ca="1">EXP(-9.8+0.24*LN(DJ16*(DG16+DI16)*DD16^2)+17558/AE16+8.7*LN(AE16/1670)-4.61*10^3*(FJ16^2/AE16))</f>
        <v>1.1730644621915556</v>
      </c>
      <c r="BP16" s="183">
        <f ca="1">EXP(-0.482-0.439*LN(DD16)+101.03*(DK16+DL16)^3-51.69*AG16/AE16-3742.5*FJ16^2/AE16)</f>
        <v>0.7974226743968551</v>
      </c>
      <c r="BQ16" s="183">
        <f ca="1">EXP(-6.96+18438/AE16+8*LN(AE16/1670)+0.66*LN((DG16+DI16)^2*DD16^2)-5.1*10^3*(FI16^2/AE16)+1.81*LN(DD16))</f>
        <v>0.15075184435524766</v>
      </c>
      <c r="BR16" s="183">
        <f ca="1">EXP(2.58+0.12*AJ16/AO16-9*10^-7*AJ16^2/AO16+0.78*LN(DJ16*DF16^2*DD16)-4.3*10^3*(FI16^2/AO16))</f>
        <v>1.4053987278890241E-2</v>
      </c>
      <c r="BS16" s="183">
        <f ca="1">EXP(-1.06+0.23*AJ16/AO16-6*10^-7*AJ16^2/AO16+1.02*LN(DK16*DF16*DD16^2)-0.8*LN(DF16)-2.2*LN(DD16))</f>
        <v>1.8315943930553559E-2</v>
      </c>
      <c r="BT16" s="183">
        <f ca="1">EXP(5.1+0.52*LN(DJ16*DE16*DF16^2)+2.04*10^3*FI16^2/AO16-6.2*DD16+42.5*DK16*DF16-45.1*(DG16+DI16)*DF16)</f>
        <v>3.1857436931426682E-2</v>
      </c>
      <c r="BU16" s="183">
        <f>EXP(12.8)*DJ16*DM16^2*DD16</f>
        <v>0</v>
      </c>
      <c r="BV16" s="182">
        <f ca="1">SUM(BP16:BU16)</f>
        <v>1.0124018868929734</v>
      </c>
      <c r="BW16" s="181"/>
      <c r="BX16" s="183">
        <f>FI16</f>
        <v>0.73267079503784271</v>
      </c>
      <c r="BY16" s="183">
        <f t="shared" si="0"/>
        <v>9.9544976148765063E-2</v>
      </c>
      <c r="BZ16" s="183">
        <f t="shared" si="1"/>
        <v>9.1884663549011758E-2</v>
      </c>
      <c r="CA16" s="183">
        <f t="shared" si="2"/>
        <v>1.8084930967527724E-2</v>
      </c>
      <c r="CB16" s="183">
        <f t="shared" si="3"/>
        <v>7.166710610330454E-2</v>
      </c>
      <c r="CC16" s="183">
        <f t="shared" si="3"/>
        <v>3.2447030050030442E-3</v>
      </c>
      <c r="CD16" s="183">
        <f>SUM(BX16:CC16)</f>
        <v>1.017097174811455</v>
      </c>
      <c r="CE16" s="183">
        <f>(EU16/EW16)/($G$8*DG16/DI16)</f>
        <v>0.3094015969114679</v>
      </c>
      <c r="CF16" s="181"/>
      <c r="CG16" s="182">
        <f ca="1">3205-5.62*EW16+83.2*EY16+68.2*FL16+2.52*LN(ES16)-51.1*FL16^2+34.8*FJ16^2+0.384*(AI16)-518*LN(AI16)</f>
        <v>4.8483260885986965</v>
      </c>
      <c r="CH16" s="182">
        <f ca="1">1458+0.197*(AI16)-241*LN(AI16)+0.453*Q16+55.5*ES16+8.05*EU16-277*EZ16+18*FE16+44.1*FI16+2.2*LN(FE16)-27.7*ET16^2+97.3*GL16^2+30.7*GN16^2-27.6*FI16^2</f>
        <v>4.3819089010610792</v>
      </c>
      <c r="CI16" s="182">
        <f ca="1">-57.9+0.0475*(AI16)-40.6*DG16-47.7*FF16+0.67*Q16-153*DJ16*DD16+6.89*(ET16/DF16)</f>
        <v>12.169878382061086</v>
      </c>
      <c r="CJ16" s="182">
        <f ca="1">-273.15+(93100+544*AJ16)/(61.1+36.6*EQ16+10.9*EU16-0.95*(ET16+FA16-EY16-EZ16)+0.395*(LN(FW16))^2)</f>
        <v>1104.7962896640865</v>
      </c>
      <c r="CK16" s="184">
        <f ca="1">EXP(-0.107-1719/AI16)</f>
        <v>0.26366927030219534</v>
      </c>
      <c r="CM16" s="182">
        <f>698.443+4.985*ER16-26.826*GM16-3.764*FC16+53.989*ES16+3.948*EQ16+14.651*FA16-700.431*EX16-666.629*EY16-682.848*GN16-691.138*GL16-688.384*EV16-6.267*GN16^2-4.144*GL16^2</f>
        <v>3.3658756863828527</v>
      </c>
      <c r="CN16" s="182">
        <f>771.48+4.956*ER16-28.756*GM16-5.345*FC16+56.904*ES16+1.848*EQ16+14.827*FA16-773.74*EX16-736.57*EY16-754.81*GN16-763.2*GL16-759.66*EV16-1.185*GN16^2-1.876*GL16^2</f>
        <v>3.1660584264524116</v>
      </c>
      <c r="CO16" s="182">
        <f ca="1">-273.15+(23166+39.28*AJ16)/(13.25+15.35*EQ16+4.5*EU16-1.55*(ET16-FA16-EY16-EZ16)+(LN(IH16))^2)</f>
        <v>794.36741167671164</v>
      </c>
      <c r="CP16" s="185"/>
      <c r="CQ16" s="80">
        <f t="shared" si="8"/>
        <v>0.98361801668655546</v>
      </c>
      <c r="CR16" s="80">
        <f t="shared" si="8"/>
        <v>6.7602417662759083E-3</v>
      </c>
      <c r="CS16" s="80">
        <f>H16*2/CS$10</f>
        <v>0.37465305361854045</v>
      </c>
      <c r="CT16" s="80">
        <f t="shared" si="9"/>
        <v>7.2654997327632281E-2</v>
      </c>
      <c r="CU16" s="80">
        <f t="shared" si="9"/>
        <v>2.6784140969162997E-3</v>
      </c>
      <c r="CV16" s="80">
        <f t="shared" si="9"/>
        <v>8.063635732078879E-2</v>
      </c>
      <c r="CW16" s="80">
        <f t="shared" si="9"/>
        <v>0.13285209371333195</v>
      </c>
      <c r="CX16" s="80">
        <f t="shared" si="10"/>
        <v>0.12907618560510109</v>
      </c>
      <c r="CY16" s="80">
        <f t="shared" si="10"/>
        <v>1.8684445199371524E-2</v>
      </c>
      <c r="CZ16" s="80">
        <f t="shared" si="10"/>
        <v>0</v>
      </c>
      <c r="DA16" s="80">
        <f t="shared" si="10"/>
        <v>4.3681351585562606E-3</v>
      </c>
      <c r="DB16" s="80">
        <f>SUM(CQ16:DA16)</f>
        <v>1.8059819404930699</v>
      </c>
      <c r="DD16" s="80">
        <f t="shared" si="11"/>
        <v>0.54464443670904461</v>
      </c>
      <c r="DE16" s="80">
        <f t="shared" si="11"/>
        <v>3.7432499266466775E-3</v>
      </c>
      <c r="DF16" s="80">
        <f t="shared" si="11"/>
        <v>0.2074511628373496</v>
      </c>
      <c r="DG16" s="80">
        <f t="shared" si="11"/>
        <v>4.0230190401458824E-2</v>
      </c>
      <c r="DH16" s="80">
        <f t="shared" si="11"/>
        <v>1.4830791143930475E-3</v>
      </c>
      <c r="DI16" s="80">
        <f t="shared" si="11"/>
        <v>4.4649592287048796E-2</v>
      </c>
      <c r="DJ16" s="80">
        <f t="shared" si="11"/>
        <v>7.3562249286424547E-2</v>
      </c>
      <c r="DK16" s="80">
        <f t="shared" si="11"/>
        <v>7.1471470844199386E-2</v>
      </c>
      <c r="DL16" s="80">
        <f t="shared" si="11"/>
        <v>1.0345864917270594E-2</v>
      </c>
      <c r="DM16" s="80">
        <f t="shared" si="11"/>
        <v>0</v>
      </c>
      <c r="DN16" s="80">
        <f t="shared" si="11"/>
        <v>2.4187036761639325E-3</v>
      </c>
      <c r="DO16" s="80">
        <f>SUM(DD16:DN16)</f>
        <v>0.99999999999999989</v>
      </c>
      <c r="DP16" s="80">
        <f t="shared" si="12"/>
        <v>52.603330113254593</v>
      </c>
      <c r="DQ16" s="80">
        <f t="shared" si="13"/>
        <v>0.78722727900632938</v>
      </c>
      <c r="DR16" s="80">
        <f t="shared" si="13"/>
        <v>2.1908190909227479E-2</v>
      </c>
      <c r="DS16" s="80">
        <f t="shared" si="13"/>
        <v>7.699022175145398E-2</v>
      </c>
      <c r="DT16" s="80">
        <f t="shared" si="13"/>
        <v>9.0609967931587376E-2</v>
      </c>
      <c r="DU16" s="80">
        <f t="shared" si="13"/>
        <v>1.9735682819383262E-3</v>
      </c>
      <c r="DV16" s="80">
        <f t="shared" si="13"/>
        <v>0.32502654796994868</v>
      </c>
      <c r="DW16" s="80">
        <f t="shared" si="13"/>
        <v>0.40123115551006289</v>
      </c>
      <c r="DX16" s="80">
        <f t="shared" si="13"/>
        <v>4.0336308001594091E-3</v>
      </c>
      <c r="DY16" s="80">
        <f t="shared" si="13"/>
        <v>0</v>
      </c>
      <c r="DZ16" s="80">
        <f t="shared" si="13"/>
        <v>1.447385561144803E-3</v>
      </c>
      <c r="EA16" s="80">
        <f>SUM(DQ16:DZ16)</f>
        <v>1.7104479477218524</v>
      </c>
      <c r="EC16" s="80">
        <f t="shared" si="14"/>
        <v>1.5744545580126588</v>
      </c>
      <c r="ED16" s="80">
        <f t="shared" si="14"/>
        <v>4.3816381818454958E-2</v>
      </c>
      <c r="EE16" s="80">
        <f>DS16*3</f>
        <v>0.23097066525436194</v>
      </c>
      <c r="EF16" s="80">
        <f t="shared" si="15"/>
        <v>9.0609967931587376E-2</v>
      </c>
      <c r="EG16" s="80">
        <f t="shared" si="15"/>
        <v>1.9735682819383262E-3</v>
      </c>
      <c r="EH16" s="80">
        <f t="shared" si="15"/>
        <v>0.32502654796994868</v>
      </c>
      <c r="EI16" s="80">
        <f t="shared" si="15"/>
        <v>0.40123115551006289</v>
      </c>
      <c r="EJ16" s="80">
        <f t="shared" si="15"/>
        <v>4.0336308001594091E-3</v>
      </c>
      <c r="EK16" s="80">
        <f t="shared" si="15"/>
        <v>0</v>
      </c>
      <c r="EL16" s="80">
        <f>DZ16*3</f>
        <v>4.3421566834344087E-3</v>
      </c>
      <c r="EM16" s="80">
        <f>SUM(EC16:EL16)</f>
        <v>2.6764586322626069</v>
      </c>
      <c r="EN16" s="80">
        <f>6/EM16</f>
        <v>2.2417682558866079</v>
      </c>
      <c r="EP16" s="80">
        <f t="shared" si="16"/>
        <v>1.7647811242443792</v>
      </c>
      <c r="EQ16" s="80">
        <f t="shared" si="16"/>
        <v>4.9113086924209723E-2</v>
      </c>
      <c r="ER16" s="80">
        <f>2-EP16</f>
        <v>0.23521887575562084</v>
      </c>
      <c r="ES16" s="80">
        <f>IF(ET16-ER16&lt;0,0,ET16-ER16)</f>
        <v>0.10996959451653948</v>
      </c>
      <c r="ET16" s="80">
        <f>DS16*$EN16*2</f>
        <v>0.34518847027216032</v>
      </c>
      <c r="EU16" s="80">
        <f t="shared" si="17"/>
        <v>0.20312654977593611</v>
      </c>
      <c r="EV16" s="80">
        <f t="shared" si="17"/>
        <v>4.4242827252740109E-3</v>
      </c>
      <c r="EW16" s="80">
        <f t="shared" si="17"/>
        <v>0.7286341975594367</v>
      </c>
      <c r="EX16" s="80">
        <f t="shared" si="17"/>
        <v>0.89946726769516205</v>
      </c>
      <c r="EY16" s="80">
        <f t="shared" si="18"/>
        <v>1.8084930967527724E-2</v>
      </c>
      <c r="EZ16" s="80">
        <f t="shared" si="18"/>
        <v>0</v>
      </c>
      <c r="FA16" s="80">
        <f t="shared" si="18"/>
        <v>6.4894060100060885E-3</v>
      </c>
      <c r="FB16" s="80">
        <f>EP16+EQ16+ET16+EU16+EV16+EW16+EX16+EY16+EZ16+FA16</f>
        <v>4.019309316174092</v>
      </c>
      <c r="FC16" s="80">
        <f>IF(EY16+ER16-ES16-2*EQ16-FA16&gt;0,EY16+ER16-ES16-2*EQ16-FA16,0)</f>
        <v>3.8618632348183544E-2</v>
      </c>
      <c r="FD16" s="80">
        <f>12-48/FB16</f>
        <v>5.764965466993921E-2</v>
      </c>
      <c r="FE16" s="80">
        <f>IF(EY16&lt;ES16,EY16,ES16)</f>
        <v>1.8084930967527724E-2</v>
      </c>
      <c r="FF16" s="80">
        <f>IF(ES16&gt;EY16,ES16-EY16,0)</f>
        <v>9.1884663549011758E-2</v>
      </c>
      <c r="FG16" s="80">
        <f>IF(ER16&gt;FF16,(ER16-FF16)/2,0)</f>
        <v>7.166710610330454E-2</v>
      </c>
      <c r="FH16" s="80">
        <f>FA16/2</f>
        <v>3.2447030050030442E-3</v>
      </c>
      <c r="FI16" s="185">
        <f>IF(EX16-FG16-FF16-FH16&gt;0,EX16-FG16-FF16-FH16,0)</f>
        <v>0.73267079503784271</v>
      </c>
      <c r="FJ16" s="80">
        <f>((EU16+EW16)-FI16)/2</f>
        <v>9.9544976148765063E-2</v>
      </c>
      <c r="FK16" s="80">
        <f>SUM(FE16:FJ16)</f>
        <v>1.0170971748114548</v>
      </c>
      <c r="FL16" s="80">
        <f>EX16-FF16-FG16-FH16</f>
        <v>0.73267079503784271</v>
      </c>
      <c r="FM16" s="80">
        <f>LN(FE16/(DD16^2*DK16*DF16))</f>
        <v>1.4138842280927311</v>
      </c>
      <c r="FN16" s="80">
        <f>LN(FE16*DJ16*(DG16+DI16)/(FI16*DK16*DF16))</f>
        <v>-4.5664438348403324</v>
      </c>
      <c r="FO16" s="80">
        <f>LN((FE16*DJ16*(DG16+DI16))/(DK16*DF16*FL16))</f>
        <v>-4.5664438348403324</v>
      </c>
      <c r="FP16" s="80">
        <f>DI16/(DI16+DG16)</f>
        <v>0.52603330113254598</v>
      </c>
      <c r="FQ16" s="186">
        <f t="shared" ca="1" si="19"/>
        <v>1402.052416091813</v>
      </c>
      <c r="FR16" s="186">
        <f t="shared" ca="1" si="19"/>
        <v>0.27853428935678881</v>
      </c>
      <c r="FS16" s="80">
        <f ca="1">(FQ16)/10^4</f>
        <v>0.1402052416091813</v>
      </c>
      <c r="FT16" s="185">
        <f ca="1">LN(ABS(BG16-FR16))</f>
        <v>1.7078705202745861</v>
      </c>
      <c r="FU16" s="185">
        <f ca="1">LN(ABS(BJ16-FQ16))</f>
        <v>5.9850031028885313</v>
      </c>
      <c r="FV16" s="80">
        <f>1458+0.45*Q16+0.197*(D16+273.15)-241*LN(D16+273.15)+55.5*ES16+8.05*EU16-276.6*EZ16+18.01*FE16+44.09*FL16+2.17*LN(FE16)+97.3*GL16^2+30.38*GN16^2-27.59*FL16^2-17.7*ET16^2</f>
        <v>3.3446877628373142</v>
      </c>
      <c r="FW16" s="80">
        <f>(1-EX16-EY16-EZ16)*(1-0.5*(ET16+FA16+EY16+EZ16))</f>
        <v>6.7204736100285767E-2</v>
      </c>
      <c r="FX16" s="185">
        <f t="shared" si="20"/>
        <v>78.199709490141913</v>
      </c>
      <c r="FY16" s="185">
        <f>2446.5+0.309*(D16+273.15)-400*LN(D16+273.15)-5.98*EW16-20.5*EY16+112*FE16+61.5*FF16+71.1*FL16+1.66*LN(FL16)-43.5*FL16^2+43*FJ16^2-26.2*ET16^2</f>
        <v>9.0170379013620945</v>
      </c>
      <c r="FZ16" s="185">
        <f>EXP(-0.107-1719/(D16+273.15))</f>
        <v>0.22416751571202168</v>
      </c>
      <c r="GA16" s="185">
        <f>(EU16/EW16)/(DG16/DI16)</f>
        <v>0.3094015969114679</v>
      </c>
      <c r="GB16" s="80">
        <f>EX16+EY16+EV16</f>
        <v>0.92197648138796384</v>
      </c>
      <c r="GC16" s="80">
        <f>ES16+EQ16+FA16+FC16</f>
        <v>0.20419071979893885</v>
      </c>
      <c r="GD16" s="80">
        <f>EXP(0.238*GC16+0.289*GB16-2.3315)</f>
        <v>0.13312704174735426</v>
      </c>
      <c r="GE16" s="80">
        <f>1-EQ16-ES16</f>
        <v>0.84091731855925089</v>
      </c>
      <c r="GF16" s="80">
        <f>(EU16-FC16)+EW16-GE16</f>
        <v>5.2224796427938314E-2</v>
      </c>
      <c r="GG16" s="80">
        <f>EU16-FC16</f>
        <v>0.16450791742775256</v>
      </c>
      <c r="GH16" s="80">
        <f>1-GD16</f>
        <v>0.86687295825264576</v>
      </c>
      <c r="GI16" s="80">
        <f>(GD16*EW16)-(GD16*(1-GB16))+GG16+(1-GB16)</f>
        <v>0.32914531105729383</v>
      </c>
      <c r="GJ16" s="80">
        <f>-GG16*(1-GB16)</f>
        <v>-1.2835486557251559E-2</v>
      </c>
      <c r="GK16" s="80">
        <f>(-GI16+SQRT(GI16^2-4*GH16*GJ16))/2*GH16</f>
        <v>2.6789337000552128E-2</v>
      </c>
      <c r="GL16" s="80">
        <f>GK16</f>
        <v>2.6789337000552128E-2</v>
      </c>
      <c r="GM16" s="80">
        <f>GG16-GL16</f>
        <v>0.13771858042720042</v>
      </c>
      <c r="GN16" s="80">
        <f>1-GB16-GL16</f>
        <v>5.1234181611484034E-2</v>
      </c>
      <c r="GO16" s="80">
        <f>EW16-GN16</f>
        <v>0.67740001594795263</v>
      </c>
      <c r="GP16" s="80">
        <f>IF(1-GB16&gt;0,EX16,1-EY16-EZ16-EV16)</f>
        <v>0.89946726769516205</v>
      </c>
      <c r="GQ16" s="80">
        <f>IF(1-GB16&gt;0,EY16,IF(EX16&gt;0,EY16,1-EV16))</f>
        <v>1.8084930967527724E-2</v>
      </c>
      <c r="GR16" s="80">
        <f>11.864*GM16+9.107*FC16-18.375*ES16+11.794*EQ16-1.4925*FA16+439.97*EX16+419.68*EY16+431.72*GN16+432.56*GL16+428.03*EV16-28.652*GN16^2-12.741*GL16^2</f>
        <v>439.37914232657624</v>
      </c>
      <c r="GS16" s="80">
        <f>-0.3085*ER16+0.813*GM16-0.4173*FC16-2.209*ES16-1.0864*EQ16-0.8001*FA16+11.931*EX16+11.288*EY16+11.432*GN16+11.885*GL16+12.038*EV16+2.4355*GN16^2-1.661*GL16^2</f>
        <v>11.620060780470181</v>
      </c>
      <c r="GT16" s="80">
        <f>3*(FC16+ES16+FA16)+2*(GM16+GO16)+4*EQ16</f>
        <v>2.2919224390713322</v>
      </c>
      <c r="GU16" s="80">
        <f>32.9*(0.75*GT16/6)*(10^-6)</f>
        <v>9.4255310306808526E-6</v>
      </c>
      <c r="GV16" s="80">
        <f>7500*GT16/((1.4133+0.05601*GS16)^3)</f>
        <v>1954.5373772016726</v>
      </c>
      <c r="GW16" s="80">
        <f>GS16*((2+3*GU16*(D16-25))/(2-3*GU16*(D16-25))-1)</f>
        <v>0.31302123843910651</v>
      </c>
      <c r="GX16" s="185">
        <f ca="1">-57.9+0.0475*(FQ16+273.15)-40.6*DG16-47.7*FF16+0.67*Q16-153*DD16*DJ16+6.89*((ER16+ES16)/DF16)</f>
        <v>25.144503382061085</v>
      </c>
      <c r="GY16" s="81" t="e">
        <f>#REF!</f>
        <v>#REF!</v>
      </c>
      <c r="GZ16" s="81" t="e">
        <f>#REF!</f>
        <v>#REF!</v>
      </c>
      <c r="HA16" s="81">
        <f>M16+N16</f>
        <v>4.88</v>
      </c>
      <c r="HB16" s="81">
        <f>6*10^-5*(F16^3)-0.0166*(F16^2)+1.5751*F16-39.978</f>
        <v>7.515268259999992</v>
      </c>
      <c r="HC16" s="81" t="e">
        <f>IF(HA16&gt;HB16,GZ16,GY16)</f>
        <v>#REF!</v>
      </c>
      <c r="HD16" s="80">
        <f t="shared" si="21"/>
        <v>439.37914232657624</v>
      </c>
      <c r="HE16" s="80">
        <f t="shared" si="21"/>
        <v>11.620060780470181</v>
      </c>
      <c r="HF16" s="81">
        <f>771.475-(1.323*HD16)-(16.064*HE16)</f>
        <v>3.5117383244666769</v>
      </c>
      <c r="HG16" s="81"/>
      <c r="HH16" s="82">
        <f>GL16+GM16+EV16</f>
        <v>0.16893220015302657</v>
      </c>
      <c r="HI16" s="82">
        <f>GN16+GO16</f>
        <v>0.7286341975594367</v>
      </c>
      <c r="HJ16" s="82">
        <f>IF(EY16&gt;FC16,FC16,EY16)</f>
        <v>1.8084930967527724E-2</v>
      </c>
      <c r="HK16" s="82">
        <f>EY16-HJ16</f>
        <v>0</v>
      </c>
      <c r="HL16" s="82">
        <f>FC16-HJ16</f>
        <v>2.0533701380655821E-2</v>
      </c>
      <c r="HM16" s="82">
        <f>IF(HK16&gt;ES16,ES16,HK16)</f>
        <v>0</v>
      </c>
      <c r="HN16" s="82">
        <f>HK16-HM16</f>
        <v>0</v>
      </c>
      <c r="HO16" s="82">
        <f>ES16-HM16</f>
        <v>0.10996959451653948</v>
      </c>
      <c r="HP16" s="82">
        <f>HO16+FA16+2*EQ16</f>
        <v>0.21468517437496501</v>
      </c>
      <c r="HQ16" s="82">
        <f>HH16/(HH16+HI16)</f>
        <v>0.18821136863363758</v>
      </c>
      <c r="HR16" s="82">
        <f>(EX16-HP16-HL16)*(1-HQ16)</f>
        <v>0.53922929297990729</v>
      </c>
      <c r="HS16" s="82">
        <f>(EX16-HP16-HL16)*HQ16</f>
        <v>0.12501909895963398</v>
      </c>
      <c r="HT16" s="82">
        <f>(1-HJ16-HM16-HL16-HP16-HR16-HS16)*(1-HQ16)</f>
        <v>6.6930187806780769E-2</v>
      </c>
      <c r="HU16" s="82">
        <f>(1-HJ16-HM16-HL16-HP16-HR16-HS16)*HQ16</f>
        <v>1.5517613530529401E-2</v>
      </c>
      <c r="HV16" s="82">
        <f>HM16+HJ16</f>
        <v>1.8084930967527724E-2</v>
      </c>
      <c r="HW16" s="82"/>
      <c r="HX16" s="187">
        <f>(-0.000000872*HR16)-(0.000000749*HT16)-(0.000000993*HS16)-(0.00000087*(HP16+HL16))-(0.00000086*HV16)-(0.00000087*HU16)</f>
        <v>-8.78176405723699E-7</v>
      </c>
      <c r="HY16" s="187">
        <f>(0.000000000001707*HR16)+(0.000000000000447*HT16)+(0.0000000000014835*HS16)+(0.000000000002171*(HP16+HL16))+(0.000000000002149*HV16)+(0.0000000000002235*HU16)</f>
        <v>1.6888409129116928E-12</v>
      </c>
      <c r="HZ16" s="187">
        <f>(0.000027795*HR16)+(0.000024656*HT16)+(0.000031371*HS16)+(0.00002225*(HP16+HL16))+(0.000023118*HV16)+(0.000028232*HU16)</f>
        <v>2.6649883747266961E-5</v>
      </c>
      <c r="IA16" s="187">
        <f>(0.0000000083082*HR16)+(0.000000007467*HT16)+(0.0000000083672*HS16)+(0.0000000052863*(HP16+HL16))+(0.0000000025785*HV16)+(0.000000007526*HU16)</f>
        <v>7.432707425941421E-9</v>
      </c>
      <c r="IB16" s="82">
        <f>GT16</f>
        <v>2.2919224390713322</v>
      </c>
      <c r="IC16" s="82" t="e">
        <f ca="1">HD16+HD16*(HX16*(ID16-0.001)+HY16*(ID16-0.001)^2+HZ16*(D16-25)+IA16*(D16-25)^2)</f>
        <v>#REF!</v>
      </c>
      <c r="ID16" s="82" t="e">
        <f ca="1">ID$8+ID$9*IE16+ID$10*#REF!+ID$11*EW16/(EW16+EU16)</f>
        <v>#REF!</v>
      </c>
      <c r="IE16" s="82" t="e">
        <f ca="1">HD16+HD16*(HX16*(IF16-0.001)+HY16*(IF16-0.001)^2+HZ16*(D16-25)+IA16*(D16-25)^2)</f>
        <v>#REF!</v>
      </c>
      <c r="IF16" s="82" t="e">
        <f ca="1">IF$8+IF$9*IE16+IF$10*#REF!+IF$11*(EW16/(EW16+EU16))</f>
        <v>#REF!</v>
      </c>
      <c r="IG16" s="82" t="e">
        <f ca="1">IF(HA16&gt;HB16,IF16,ID16)</f>
        <v>#REF!</v>
      </c>
      <c r="IH16" s="185">
        <f>(1-EX16-EY16-EZ16)*(1-0.5*(ET16+FA16+EY16+EZ16))</f>
        <v>6.7204736100285767E-2</v>
      </c>
      <c r="II16" s="188">
        <f>D16-25</f>
        <v>940</v>
      </c>
      <c r="IJ16" s="188"/>
      <c r="IK16" s="82">
        <f>1.4133+(0.05601*HE16)</f>
        <v>2.0641396043141347</v>
      </c>
      <c r="IL16" s="188">
        <f>(7500*IB16)/IK16^3</f>
        <v>1954.5373772016726</v>
      </c>
      <c r="IM16" s="187">
        <f>0.0000329*(0.75-IB16/6)</f>
        <v>1.2107625292425529E-5</v>
      </c>
    </row>
    <row r="17" spans="1:247" s="80" customFormat="1">
      <c r="A17" s="163" t="s">
        <v>183</v>
      </c>
      <c r="B17" s="163" t="s">
        <v>235</v>
      </c>
      <c r="C17" s="98">
        <v>2</v>
      </c>
      <c r="D17" s="175">
        <v>1000</v>
      </c>
      <c r="E17" s="119">
        <f ca="1">BP17-BX17</f>
        <v>2.8429514155249191E-2</v>
      </c>
      <c r="F17" s="176">
        <v>52.5</v>
      </c>
      <c r="G17" s="176">
        <v>0.98</v>
      </c>
      <c r="H17" s="176">
        <v>19.2</v>
      </c>
      <c r="I17" s="176">
        <v>8.0399999999999991</v>
      </c>
      <c r="J17" s="176">
        <v>0.2</v>
      </c>
      <c r="K17" s="176">
        <v>4.99</v>
      </c>
      <c r="L17" s="176">
        <v>9.64</v>
      </c>
      <c r="M17" s="176">
        <v>4.1500000000000004</v>
      </c>
      <c r="N17" s="176">
        <v>0.21</v>
      </c>
      <c r="O17" s="176">
        <v>0</v>
      </c>
      <c r="P17" s="176">
        <v>0.14000000000000001</v>
      </c>
      <c r="Q17" s="176">
        <v>6.2</v>
      </c>
      <c r="R17" s="177">
        <f t="shared" ca="1" si="4"/>
        <v>3.8817599045884452</v>
      </c>
      <c r="S17" s="67"/>
      <c r="T17" s="176">
        <v>51.1</v>
      </c>
      <c r="U17" s="176">
        <v>0.63</v>
      </c>
      <c r="V17" s="176">
        <v>4.41</v>
      </c>
      <c r="W17" s="176">
        <v>5.66</v>
      </c>
      <c r="X17" s="176">
        <v>0.13</v>
      </c>
      <c r="Y17" s="176">
        <v>15.6</v>
      </c>
      <c r="Z17" s="176">
        <v>22.6</v>
      </c>
      <c r="AA17" s="176">
        <v>0.23</v>
      </c>
      <c r="AB17" s="176">
        <v>0</v>
      </c>
      <c r="AC17" s="176">
        <v>0.27</v>
      </c>
      <c r="AE17" s="178">
        <f ca="1">10^4/(7.53-0.14*FN17+0.07*Q17-14.9*DJ17*DD17-0.08*LN(DE17)-3.62*(DK17+DL17)-1.1*DI17/(DI17+DG17)-0.18*LN(FJ17)-0.027*AG17)</f>
        <v>1287.3207490003197</v>
      </c>
      <c r="AF17" s="179">
        <f ca="1">AE17-273.15</f>
        <v>1014.1707490003197</v>
      </c>
      <c r="AG17" s="179">
        <f ca="1">-26.2712+39.16138*AE17*FM17/10^4-4.21676*LN(FL17)+78.43463*DF17+393.8126*(DK17+DL17)^2</f>
        <v>0.9527080420877736</v>
      </c>
      <c r="AH17" s="175"/>
      <c r="AI17" s="180">
        <f ca="1">AY17</f>
        <v>1408.8075371298269</v>
      </c>
      <c r="AJ17" s="180">
        <f ca="1">BA17</f>
        <v>1.2637889101478059</v>
      </c>
      <c r="AK17" s="180"/>
      <c r="AL17" s="180">
        <f t="shared" ca="1" si="5"/>
        <v>1387.1364189380727</v>
      </c>
      <c r="AM17" s="180">
        <f t="shared" ca="1" si="5"/>
        <v>-2.1440159209469289E-2</v>
      </c>
      <c r="AN17" s="181"/>
      <c r="AO17" s="180">
        <f ca="1">10^4/(7.53-0.14*FN17+0.07*Q17-14.9*DJ17*DD17-0.08*LN(DE17)-3.62*(DK17+DL17)-1.1*DI17/(DI17+DG17)-0.18*LN(FJ17)-0.027*AQ17)</f>
        <v>1266.4833880034246</v>
      </c>
      <c r="AP17" s="180">
        <f t="shared" ca="1" si="6"/>
        <v>993.3333880034246</v>
      </c>
      <c r="AQ17" s="180">
        <f ca="1">IF(ABS(FE17)&gt;0,-54.3+299*(AO17)/10^4+36.4*(AO17)*FM17/10^4+367*DK17*DF17,0)</f>
        <v>-3.7809042565301674</v>
      </c>
      <c r="AR17" s="180"/>
      <c r="AS17" s="180">
        <f ca="1">10^4/(6.39+0.076*Q17-5.55*DJ17*DD17-0.386*LN(DI17)-0.046*AU17+2.2*10^-4*(AU17^2))</f>
        <v>1283.266427767079</v>
      </c>
      <c r="AT17" s="180">
        <f t="shared" ca="1" si="7"/>
        <v>1010.116427767079</v>
      </c>
      <c r="AU17" s="182">
        <f ca="1">-54.3+299*(AS17)/10^4+36.4*(AS17)*FM17/10^4+367*DK17*DF17</f>
        <v>-3.1860277964812251</v>
      </c>
      <c r="AW17" s="182">
        <f>IF(ABS(FE17)&gt;0,10^4/(6.73-0.26*FN17-0.86*LN(FP17)+0.52*LN(DJ17)),0)</f>
        <v>1403.3181652349751</v>
      </c>
      <c r="AX17" s="182">
        <f>IF(AW17&gt;0,AW17-273.15,0)</f>
        <v>1130.1681652349753</v>
      </c>
      <c r="AY17" s="182">
        <f ca="1">IF(ABS(FE17)&gt;0,10^4/(6.59-0.16*FN17-0.65*LN(FP17)+0.23*LN(DJ17)-0.02*BA17),0)</f>
        <v>1408.8075371298269</v>
      </c>
      <c r="AZ17" s="182">
        <f ca="1">IF(AY17&gt;0,AY17-273.15,0)</f>
        <v>1135.6575371298268</v>
      </c>
      <c r="BA17" s="182">
        <f ca="1">IF(ABS(FE17)&gt;0,-54.3+299*(AY17)/10^4+36.4*(AY17)*FM17/10^4+367*DK17*DF17,0)</f>
        <v>1.2637889101478059</v>
      </c>
      <c r="BB17" s="182"/>
      <c r="BC17" s="182">
        <f ca="1">IF(ABS(FE17)&gt;0,10^4/(4.6-0.437*FO17-0.654*LN(FP17)-0.326*LN(DK17)-0.92*LN(DD17)+0.274*LN(FE17)-0.00632*BD17),0)</f>
        <v>1387.1364189380727</v>
      </c>
      <c r="BD17" s="182">
        <f ca="1">IF(ABS(FE17)&gt;0,-88.3+0.00282*(BC17)*FM17+0.0219*(BC17)-25.1*LN(DJ17*DD17)+12.4*LN(DJ17)+7.03*FP17,0)</f>
        <v>-2.1440159209469289E-2</v>
      </c>
      <c r="BE17" s="182">
        <f ca="1">BC17-273.15</f>
        <v>1113.9864189380728</v>
      </c>
      <c r="BF17" s="182"/>
      <c r="BG17" s="182">
        <f ca="1">-48.7+271.3*AI17/10^4+31.96*(AI17/10^4)*FM17-8.2*LN(DG17)+4.6*LN(DI17)-0.96*LN(DL17)-2.2*LN(FL17)-31*FP17+56.2*(DK17+DL17)+0.76*Q17</f>
        <v>5.8594387983387897</v>
      </c>
      <c r="BH17" s="182">
        <f ca="1">-40.73+358*AI17/10^4+21.7*(AI17/10^4)*FM17-106*DJ17-166*(DK17+DL17)^2-50.2*DD17*(DG17+DI17)-3.2*LN(FL17)-2.2*LN(FJ17)+0.86*LN(ET17)+0.4*Q17</f>
        <v>6.7530336496901162</v>
      </c>
      <c r="BI17" s="182">
        <f ca="1">-273.15+10^4/(7.53+0.07*Q17-1.1*FP17-14.9*DJ17*DD17-0.08*LN(DE17)-3.62*(DK17+DL17)-0.18*LN(FJ17)-0.026*AJ17-0.14*FO17)</f>
        <v>1015.3543099721982</v>
      </c>
      <c r="BJ17" s="182">
        <f ca="1">-273.15+10^4/(6.39+0.076*Q17-5.55*DJ17*DD17-0.386*LN(DI17)-0.046*FR17+2.2*10^-4*AJ17^2)</f>
        <v>1045.0606987280357</v>
      </c>
      <c r="BK17" s="182">
        <f ca="1">-273.15+10^4/(6.39+0.076*Q17-5.55*(DJ17*DD17)-0.386*LN(DI17)-0.046*AJ17+0.00022*AJ17^2)</f>
        <v>1045.0606987280357</v>
      </c>
      <c r="BL17" s="182"/>
      <c r="BM17" s="182">
        <f ca="1">10^4/(3.12-0.0259*BD17-0.37*LN(DI17/(DI17+DG17))+0.47*LN(DJ17*(DI17+DG17)*DD17^2)-0.78*LN((DI17+DG17)^2*DD17^2)-0.34*LN(DJ17*DF17^2*DD17))-273.15</f>
        <v>1146.0429467450385</v>
      </c>
      <c r="BN17" s="181"/>
      <c r="BO17" s="183">
        <f ca="1">EXP(-9.8+0.24*LN(DJ17*(DG17+DI17)*DD17^2)+17558/AE17+8.7*LN(AE17/1670)-4.61*10^3*(FJ17^2/AE17))</f>
        <v>1.130061694221981</v>
      </c>
      <c r="BP17" s="183">
        <f ca="1">EXP(-0.482-0.439*LN(DD17)+101.03*(DK17+DL17)^3-51.69*AG17/AE17-3742.5*FJ17^2/AE17)</f>
        <v>0.82447830069610495</v>
      </c>
      <c r="BQ17" s="183">
        <f ca="1">EXP(-6.96+18438/AE17+8*LN(AE17/1670)+0.66*LN((DG17+DI17)^2*DD17^2)-5.1*10^3*(FI17^2/AE17)+1.81*LN(DD17))</f>
        <v>0.10986343149152779</v>
      </c>
      <c r="BR17" s="183">
        <f ca="1">EXP(2.58+0.12*AJ17/AO17-9*10^-7*AJ17^2/AO17+0.78*LN(DJ17*DF17^2*DD17)-4.3*10^3*(FI17^2/AO17))</f>
        <v>1.1907399205121873E-2</v>
      </c>
      <c r="BS17" s="183">
        <f ca="1">EXP(-1.06+0.23*AJ17/AO17-6*10^-7*AJ17^2/AO17+1.02*LN(DK17*DF17*DD17^2)-0.8*LN(DF17)-2.2*LN(DD17))</f>
        <v>1.932005083860059E-2</v>
      </c>
      <c r="BT17" s="183">
        <f ca="1">EXP(5.1+0.52*LN(DJ17*DE17*DF17^2)+2.04*10^3*FI17^2/AO17-6.2*DD17+42.5*DK17*DF17-45.1*(DG17+DI17)*DF17)</f>
        <v>5.5579962577046629E-2</v>
      </c>
      <c r="BU17" s="183">
        <f>EXP(12.8)*DJ17*DM17^2*DD17</f>
        <v>0</v>
      </c>
      <c r="BV17" s="182">
        <f ca="1">SUM(BP17:BU17)</f>
        <v>1.0211491448084018</v>
      </c>
      <c r="BW17" s="181"/>
      <c r="BX17" s="183">
        <f>FI17</f>
        <v>0.79604878654085576</v>
      </c>
      <c r="BY17" s="183">
        <f t="shared" si="0"/>
        <v>0.1145955081439623</v>
      </c>
      <c r="BZ17" s="183">
        <f t="shared" si="1"/>
        <v>4.5827315358557691E-2</v>
      </c>
      <c r="CA17" s="183">
        <f t="shared" si="2"/>
        <v>1.6334601092911297E-2</v>
      </c>
      <c r="CB17" s="183">
        <f t="shared" si="3"/>
        <v>4.1197081002489463E-2</v>
      </c>
      <c r="CC17" s="183">
        <f t="shared" si="3"/>
        <v>3.9094880024166884E-3</v>
      </c>
      <c r="CD17" s="183">
        <f>SUM(BX17:CC17)</f>
        <v>1.0179127801411931</v>
      </c>
      <c r="CE17" s="183">
        <f>(EU17/EW17)/($G$8*DG17/DI17)</f>
        <v>0.22518337798188542</v>
      </c>
      <c r="CF17" s="181"/>
      <c r="CG17" s="182">
        <f ca="1">3205-5.62*EW17+83.2*EY17+68.2*FL17+2.52*LN(ES17)-51.1*FL17^2+34.8*FJ17^2+0.384*(AI17)-518*LN(AI17)</f>
        <v>2.1604494270181931</v>
      </c>
      <c r="CH17" s="182">
        <f ca="1">1458+0.197*(AI17)-241*LN(AI17)+0.453*Q17+55.5*ES17+8.05*EU17-277*EZ17+18*FE17+44.1*FI17+2.2*LN(FE17)-27.7*ET17^2+97.3*GL17^2+30.7*GN17^2-27.6*FI17^2</f>
        <v>3.875650604655636</v>
      </c>
      <c r="CI17" s="182">
        <f ca="1">-57.9+0.0475*(AI17)-40.6*DG17-47.7*FF17+0.67*Q17-153*DJ17*DD17+6.89*(ET17/DF17)</f>
        <v>7.808893483357588</v>
      </c>
      <c r="CJ17" s="182">
        <f ca="1">-273.15+(93100+544*AJ17)/(61.1+36.6*EQ17+10.9*EU17-0.95*(ET17+FA17-EY17-EZ17)+0.395*(LN(FW17))^2)</f>
        <v>1151.6941899432718</v>
      </c>
      <c r="CK17" s="184">
        <f ca="1">EXP(-0.107-1719/AI17)</f>
        <v>0.26522391022485453</v>
      </c>
      <c r="CM17" s="182">
        <f>698.443+4.985*ER17-26.826*GM17-3.764*FC17+53.989*ES17+3.948*EQ17+14.651*FA17-700.431*EX17-666.629*EY17-682.848*GN17-691.138*GL17-688.384*EV17-6.267*GN17^2-4.144*GL17^2</f>
        <v>1.1460946027634207</v>
      </c>
      <c r="CN17" s="182">
        <f>771.48+4.956*ER17-28.756*GM17-5.345*FC17+56.904*ES17+1.848*EQ17+14.827*FA17-773.74*EX17-736.57*EY17-754.81*GN17-763.2*GL17-759.66*EV17-1.185*GN17^2-1.876*GL17^2</f>
        <v>0.9559260408480833</v>
      </c>
      <c r="CO17" s="182">
        <f ca="1">-273.15+(23166+39.28*AJ17)/(13.25+15.35*EQ17+4.5*EU17-1.55*(ET17-FA17-EY17-EZ17)+(LN(IH17))^2)</f>
        <v>885.28713770794332</v>
      </c>
      <c r="CP17" s="185"/>
      <c r="CQ17" s="80">
        <f t="shared" si="8"/>
        <v>0.87377234984846297</v>
      </c>
      <c r="CR17" s="80">
        <f t="shared" si="8"/>
        <v>1.2268586909167389E-2</v>
      </c>
      <c r="CS17" s="80">
        <f>H17*2/CS$10</f>
        <v>0.37661458793067937</v>
      </c>
      <c r="CT17" s="80">
        <f t="shared" si="9"/>
        <v>0.11190539818278994</v>
      </c>
      <c r="CU17" s="80">
        <f t="shared" si="9"/>
        <v>2.8193832599118945E-3</v>
      </c>
      <c r="CV17" s="80">
        <f t="shared" si="9"/>
        <v>0.12380782247099573</v>
      </c>
      <c r="CW17" s="80">
        <f t="shared" si="9"/>
        <v>0.17190525951631141</v>
      </c>
      <c r="CX17" s="80">
        <f t="shared" si="10"/>
        <v>0.1339165425652924</v>
      </c>
      <c r="CY17" s="80">
        <f t="shared" si="10"/>
        <v>4.458788058940932E-3</v>
      </c>
      <c r="CZ17" s="80">
        <f t="shared" si="10"/>
        <v>0</v>
      </c>
      <c r="DA17" s="80">
        <f t="shared" si="10"/>
        <v>1.9727062006383114E-3</v>
      </c>
      <c r="DB17" s="80">
        <f>SUM(CQ17:DA17)</f>
        <v>1.8134414249431905</v>
      </c>
      <c r="DD17" s="80">
        <f t="shared" si="11"/>
        <v>0.481831030123201</v>
      </c>
      <c r="DE17" s="80">
        <f t="shared" si="11"/>
        <v>6.7653615608520281E-3</v>
      </c>
      <c r="DF17" s="80">
        <f t="shared" si="11"/>
        <v>0.20767948870610892</v>
      </c>
      <c r="DG17" s="80">
        <f t="shared" si="11"/>
        <v>6.1708857338083359E-2</v>
      </c>
      <c r="DH17" s="80">
        <f t="shared" si="11"/>
        <v>1.5547142693071638E-3</v>
      </c>
      <c r="DI17" s="80">
        <f t="shared" si="11"/>
        <v>6.8272303019036987E-2</v>
      </c>
      <c r="DJ17" s="80">
        <f t="shared" si="11"/>
        <v>9.4795043915850044E-2</v>
      </c>
      <c r="DK17" s="80">
        <f t="shared" si="11"/>
        <v>7.3846632553619743E-2</v>
      </c>
      <c r="DL17" s="80">
        <f t="shared" si="11"/>
        <v>2.458743909569956E-3</v>
      </c>
      <c r="DM17" s="80">
        <f t="shared" si="11"/>
        <v>0</v>
      </c>
      <c r="DN17" s="80">
        <f t="shared" si="11"/>
        <v>1.0878246043707258E-3</v>
      </c>
      <c r="DO17" s="80">
        <f>SUM(DD17:DN17)</f>
        <v>0.99999999999999989</v>
      </c>
      <c r="DP17" s="80">
        <f t="shared" si="12"/>
        <v>52.524768075204399</v>
      </c>
      <c r="DQ17" s="80">
        <f t="shared" si="13"/>
        <v>0.85047175385250395</v>
      </c>
      <c r="DR17" s="80">
        <f t="shared" si="13"/>
        <v>7.8869487273218932E-3</v>
      </c>
      <c r="DS17" s="80">
        <f t="shared" si="13"/>
        <v>4.3251831582663963E-2</v>
      </c>
      <c r="DT17" s="80">
        <f t="shared" si="13"/>
        <v>7.8779173347585954E-2</v>
      </c>
      <c r="DU17" s="80">
        <f t="shared" si="13"/>
        <v>1.8325991189427314E-3</v>
      </c>
      <c r="DV17" s="80">
        <f t="shared" si="13"/>
        <v>0.38705451513978623</v>
      </c>
      <c r="DW17" s="80">
        <f t="shared" si="13"/>
        <v>0.40301440509010766</v>
      </c>
      <c r="DX17" s="80">
        <f t="shared" si="13"/>
        <v>3.7109403361466563E-3</v>
      </c>
      <c r="DY17" s="80">
        <f t="shared" si="13"/>
        <v>0</v>
      </c>
      <c r="DZ17" s="80">
        <f t="shared" si="13"/>
        <v>1.7763368250413494E-3</v>
      </c>
      <c r="EA17" s="80">
        <f>SUM(DQ17:DZ17)</f>
        <v>1.7777785040201004</v>
      </c>
      <c r="EC17" s="80">
        <f t="shared" si="14"/>
        <v>1.7009435077050079</v>
      </c>
      <c r="ED17" s="80">
        <f t="shared" si="14"/>
        <v>1.5773897454643786E-2</v>
      </c>
      <c r="EE17" s="80">
        <f>DS17*3</f>
        <v>0.12975549474799189</v>
      </c>
      <c r="EF17" s="80">
        <f t="shared" si="15"/>
        <v>7.8779173347585954E-2</v>
      </c>
      <c r="EG17" s="80">
        <f t="shared" si="15"/>
        <v>1.8325991189427314E-3</v>
      </c>
      <c r="EH17" s="80">
        <f t="shared" si="15"/>
        <v>0.38705451513978623</v>
      </c>
      <c r="EI17" s="80">
        <f t="shared" si="15"/>
        <v>0.40301440509010766</v>
      </c>
      <c r="EJ17" s="80">
        <f t="shared" si="15"/>
        <v>3.7109403361466563E-3</v>
      </c>
      <c r="EK17" s="80">
        <f t="shared" si="15"/>
        <v>0</v>
      </c>
      <c r="EL17" s="80">
        <f>DZ17*3</f>
        <v>5.3290104751240481E-3</v>
      </c>
      <c r="EM17" s="80">
        <f>SUM(EC17:EL17)</f>
        <v>2.7261935434153366</v>
      </c>
      <c r="EN17" s="80">
        <f>6/EM17</f>
        <v>2.2008708862553044</v>
      </c>
      <c r="EP17" s="80">
        <f t="shared" si="16"/>
        <v>1.8717785226364634</v>
      </c>
      <c r="EQ17" s="80">
        <f t="shared" si="16"/>
        <v>1.735815583535108E-2</v>
      </c>
      <c r="ER17" s="80">
        <f>2-EP17</f>
        <v>0.12822147736353662</v>
      </c>
      <c r="ES17" s="80">
        <f>IF(ET17-ER17&lt;0,0,ET17-ER17)</f>
        <v>6.2161916451468985E-2</v>
      </c>
      <c r="ET17" s="80">
        <f>DS17*$EN17*2</f>
        <v>0.1903833938150056</v>
      </c>
      <c r="EU17" s="80">
        <f t="shared" si="17"/>
        <v>0.17338278906396176</v>
      </c>
      <c r="EV17" s="80">
        <f t="shared" si="17"/>
        <v>4.0333140470581791E-3</v>
      </c>
      <c r="EW17" s="80">
        <f t="shared" si="17"/>
        <v>0.85185701376481848</v>
      </c>
      <c r="EX17" s="80">
        <f t="shared" si="17"/>
        <v>0.88698267090431948</v>
      </c>
      <c r="EY17" s="80">
        <f t="shared" si="18"/>
        <v>1.6334601092911297E-2</v>
      </c>
      <c r="EZ17" s="80">
        <f t="shared" si="18"/>
        <v>0</v>
      </c>
      <c r="FA17" s="80">
        <f t="shared" si="18"/>
        <v>7.8189760048333768E-3</v>
      </c>
      <c r="FB17" s="80">
        <f>EP17+EQ17+ET17+EU17+EV17+EW17+EX17+EY17+EZ17+FA17</f>
        <v>4.0199294371647234</v>
      </c>
      <c r="FC17" s="80">
        <f>IF(EY17+ER17-ES17-2*EQ17-FA17&gt;0,EY17+ER17-ES17-2*EQ17-FA17,0)</f>
        <v>3.9858874329443392E-2</v>
      </c>
      <c r="FD17" s="80">
        <f>12-48/FB17</f>
        <v>5.949190146615102E-2</v>
      </c>
      <c r="FE17" s="80">
        <f>IF(EY17&lt;ES17,EY17,ES17)</f>
        <v>1.6334601092911297E-2</v>
      </c>
      <c r="FF17" s="80">
        <f>IF(ES17&gt;EY17,ES17-EY17,0)</f>
        <v>4.5827315358557691E-2</v>
      </c>
      <c r="FG17" s="80">
        <f>IF(ER17&gt;FF17,(ER17-FF17)/2,0)</f>
        <v>4.1197081002489463E-2</v>
      </c>
      <c r="FH17" s="80">
        <f>FA17/2</f>
        <v>3.9094880024166884E-3</v>
      </c>
      <c r="FI17" s="185">
        <f>IF(EX17-FG17-FF17-FH17&gt;0,EX17-FG17-FF17-FH17,0)</f>
        <v>0.79604878654085576</v>
      </c>
      <c r="FJ17" s="80">
        <f>((EU17+EW17)-FI17)/2</f>
        <v>0.1145955081439623</v>
      </c>
      <c r="FK17" s="80">
        <f>SUM(FE17:FJ17)</f>
        <v>1.0179127801411931</v>
      </c>
      <c r="FL17" s="80">
        <f>EX17-FF17-FG17-FH17</f>
        <v>0.79604878654085576</v>
      </c>
      <c r="FM17" s="80">
        <f>LN(FE17/(DD17^2*DK17*DF17))</f>
        <v>1.5233780948930093</v>
      </c>
      <c r="FN17" s="80">
        <f>LN(FE17*DJ17*(DG17+DI17)/(FI17*DK17*DF17))</f>
        <v>-4.1052545821348989</v>
      </c>
      <c r="FO17" s="80">
        <f>LN((FE17*DJ17*(DG17+DI17))/(DK17*DF17*FL17))</f>
        <v>-4.1052545821348989</v>
      </c>
      <c r="FP17" s="80">
        <f>DI17/(DI17+DG17)</f>
        <v>0.52524768075204398</v>
      </c>
      <c r="FQ17" s="186">
        <f t="shared" ca="1" si="19"/>
        <v>1408.8075371298269</v>
      </c>
      <c r="FR17" s="186">
        <f t="shared" ca="1" si="19"/>
        <v>1.2637889101478059</v>
      </c>
      <c r="FS17" s="80">
        <f ca="1">(FQ17)/10^4</f>
        <v>0.1408807537129827</v>
      </c>
      <c r="FT17" s="185">
        <f ca="1">LN(ABS(BG17-FR17))</f>
        <v>1.5251101795807183</v>
      </c>
      <c r="FU17" s="185">
        <f ca="1">LN(ABS(BJ17-FQ17))</f>
        <v>5.896458126769005</v>
      </c>
      <c r="FV17" s="80">
        <f>1458+0.45*Q17+0.197*(D17+273.15)-241*LN(D17+273.15)+55.5*ES17+8.05*EU17-276.6*EZ17+18.01*FE17+44.09*FL17+2.17*LN(FE17)+97.3*GL17^2+30.38*GN17^2-27.59*FL17^2-17.7*ET17^2</f>
        <v>2.0166668406208714</v>
      </c>
      <c r="FW17" s="80">
        <f>(1-EX17-EY17-EZ17)*(1-0.5*(ET17+FA17+EY17+EZ17))</f>
        <v>8.6311718200121498E-2</v>
      </c>
      <c r="FX17" s="185">
        <f t="shared" si="20"/>
        <v>83.088562443091433</v>
      </c>
      <c r="FY17" s="185">
        <f>2446.5+0.309*(D17+273.15)-400*LN(D17+273.15)-5.98*EW17-20.5*EY17+112*FE17+61.5*FF17+71.1*FL17+1.66*LN(FL17)-43.5*FL17^2+43*FJ17^2-26.2*ET17^2</f>
        <v>7.6922689166546849</v>
      </c>
      <c r="FZ17" s="185">
        <f>EXP(-0.107-1719/(D17+273.15))</f>
        <v>0.23288875175467946</v>
      </c>
      <c r="GA17" s="185">
        <f>(EU17/EW17)/(DG17/DI17)</f>
        <v>0.22518337798188542</v>
      </c>
      <c r="GB17" s="80">
        <f>EX17+EY17+EV17</f>
        <v>0.90735058604428898</v>
      </c>
      <c r="GC17" s="80">
        <f>ES17+EQ17+FA17+FC17</f>
        <v>0.12719792262109683</v>
      </c>
      <c r="GD17" s="80">
        <f>EXP(0.238*GC17+0.289*GB17-2.3315)</f>
        <v>0.13015846946041909</v>
      </c>
      <c r="GE17" s="80">
        <f>1-EQ17-ES17</f>
        <v>0.92047992771317999</v>
      </c>
      <c r="GF17" s="80">
        <f>(EU17-FC17)+EW17-GE17</f>
        <v>6.4901000786156904E-2</v>
      </c>
      <c r="GG17" s="80">
        <f>EU17-FC17</f>
        <v>0.13352391473451836</v>
      </c>
      <c r="GH17" s="80">
        <f>1-GD17</f>
        <v>0.86984153053958091</v>
      </c>
      <c r="GI17" s="80">
        <f>(GD17*EW17)-(GD17*(1-GB17))+GG17+(1-GB17)</f>
        <v>0.32499062788410116</v>
      </c>
      <c r="GJ17" s="80">
        <f>-GG17*(1-GB17)</f>
        <v>-1.2370912449225453E-2</v>
      </c>
      <c r="GK17" s="80">
        <f>(-GI17+SQRT(GI17^2-4*GH17*GJ17))/2*GH17</f>
        <v>2.6345882863133923E-2</v>
      </c>
      <c r="GL17" s="80">
        <f>GK17</f>
        <v>2.6345882863133923E-2</v>
      </c>
      <c r="GM17" s="80">
        <f>GG17-GL17</f>
        <v>0.10717803187138443</v>
      </c>
      <c r="GN17" s="80">
        <f>1-GB17-GL17</f>
        <v>6.6303531092577098E-2</v>
      </c>
      <c r="GO17" s="80">
        <f>EW17-GN17</f>
        <v>0.78555348267224134</v>
      </c>
      <c r="GP17" s="80">
        <f>IF(1-GB17&gt;0,EX17,1-EY17-EZ17-EV17)</f>
        <v>0.88698267090431948</v>
      </c>
      <c r="GQ17" s="80">
        <f>IF(1-GB17&gt;0,EY17,IF(EX17&gt;0,EY17,1-EV17))</f>
        <v>1.6334601092911297E-2</v>
      </c>
      <c r="GR17" s="80">
        <f>11.864*GM17+9.107*FC17-18.375*ES17+11.794*EQ17-1.4925*FA17+439.97*EX17+419.68*EY17+431.72*GN17+432.56*GL17+428.03*EV17-28.652*GN17^2-12.741*GL17^2</f>
        <v>439.39876571815984</v>
      </c>
      <c r="GS17" s="80">
        <f>-0.3085*ER17+0.813*GM17-0.4173*FC17-2.209*ES17-1.0864*EQ17-0.8001*FA17+11.931*EX17+11.288*EY17+11.432*GN17+11.885*GL17+12.038*EV17+2.4355*GN17^2-1.661*GL17^2</f>
        <v>11.764701746792079</v>
      </c>
      <c r="GT17" s="80">
        <f>3*(FC17+ES17+FA17)+2*(GM17+GO17)+4*EQ17</f>
        <v>2.1844149527858931</v>
      </c>
      <c r="GU17" s="80">
        <f>32.9*(0.75*GT17/6)*(10^-6)</f>
        <v>8.9834064933319844E-6</v>
      </c>
      <c r="GV17" s="80">
        <f>7500*GT17/((1.4133+0.05601*GS17)^3)</f>
        <v>1841.0926848237059</v>
      </c>
      <c r="GW17" s="80">
        <f>GS17*((2+3*GU17*(D17-25))/(2-3*GU17*(D17-25))-1)</f>
        <v>0.31325031717798241</v>
      </c>
      <c r="GX17" s="185">
        <f ca="1">-57.9+0.0475*(FQ17+273.15)-40.6*DG17-47.7*FF17+0.67*Q17-153*DD17*DJ17+6.89*((ER17+ES17)/DF17)</f>
        <v>20.783518483357589</v>
      </c>
      <c r="GY17" s="81" t="e">
        <f>#REF!</f>
        <v>#REF!</v>
      </c>
      <c r="GZ17" s="81" t="e">
        <f>#REF!</f>
        <v>#REF!</v>
      </c>
      <c r="HA17" s="81">
        <f>M17+N17</f>
        <v>4.3600000000000003</v>
      </c>
      <c r="HB17" s="81">
        <f>6*10^-5*(F17^3)-0.0166*(F17^2)+1.5751*F17-39.978</f>
        <v>5.6431875000000034</v>
      </c>
      <c r="HC17" s="81" t="e">
        <f>IF(HA17&gt;HB17,GZ17,GY17)</f>
        <v>#REF!</v>
      </c>
      <c r="HD17" s="80">
        <f t="shared" si="21"/>
        <v>439.39876571815984</v>
      </c>
      <c r="HE17" s="80">
        <f t="shared" si="21"/>
        <v>11.764701746792079</v>
      </c>
      <c r="HF17" s="81">
        <f>771.475-(1.323*HD17)-(16.064*HE17)</f>
        <v>1.1622640944065665</v>
      </c>
      <c r="HG17" s="81"/>
      <c r="HH17" s="82">
        <f>GL17+GM17+EV17</f>
        <v>0.13755722878157653</v>
      </c>
      <c r="HI17" s="82">
        <f>GN17+GO17</f>
        <v>0.85185701376481848</v>
      </c>
      <c r="HJ17" s="82">
        <f>IF(EY17&gt;FC17,FC17,EY17)</f>
        <v>1.6334601092911297E-2</v>
      </c>
      <c r="HK17" s="82">
        <f>EY17-HJ17</f>
        <v>0</v>
      </c>
      <c r="HL17" s="82">
        <f>FC17-HJ17</f>
        <v>2.3524273236532094E-2</v>
      </c>
      <c r="HM17" s="82">
        <f>IF(HK17&gt;ES17,ES17,HK17)</f>
        <v>0</v>
      </c>
      <c r="HN17" s="82">
        <f>HK17-HM17</f>
        <v>0</v>
      </c>
      <c r="HO17" s="82">
        <f>ES17-HM17</f>
        <v>6.2161916451468985E-2</v>
      </c>
      <c r="HP17" s="82">
        <f>HO17+FA17+2*EQ17</f>
        <v>0.10469720412700452</v>
      </c>
      <c r="HQ17" s="82">
        <f>HH17/(HH17+HI17)</f>
        <v>0.13902895558442124</v>
      </c>
      <c r="HR17" s="82">
        <f>(EX17-HP17-HL17)*(1-HQ17)</f>
        <v>0.65327141726481885</v>
      </c>
      <c r="HS17" s="82">
        <f>(EX17-HP17-HL17)*HQ17</f>
        <v>0.10548977627596395</v>
      </c>
      <c r="HT17" s="82">
        <f>(1-HJ17-HM17-HL17-HP17-HR17-HS17)*(1-HQ17)</f>
        <v>8.3241029305491585E-2</v>
      </c>
      <c r="HU17" s="82">
        <f>(1-HJ17-HM17-HL17-HP17-HR17-HS17)*HQ17</f>
        <v>1.3441698697277691E-2</v>
      </c>
      <c r="HV17" s="82">
        <f>HM17+HJ17</f>
        <v>1.6334601092911297E-2</v>
      </c>
      <c r="HW17" s="82"/>
      <c r="HX17" s="187">
        <f>(-0.000000872*HR17)-(0.000000749*HT17)-(0.000000993*HS17)-(0.00000087*(HP17+HL17))-(0.00000086*HV17)-(0.00000087*HU17)</f>
        <v>-8.7404627475957961E-7</v>
      </c>
      <c r="HY17" s="187">
        <f>(0.000000000001707*HR17)+(0.000000000000447*HT17)+(0.0000000000014835*HS17)+(0.000000000002171*(HP17+HL17))+(0.000000000002149*HV17)+(0.0000000000002235*HU17)</f>
        <v>1.6253132372397391E-12</v>
      </c>
      <c r="HZ17" s="187">
        <f>(0.000027795*HR17)+(0.000024656*HT17)+(0.000031371*HS17)+(0.00002225*(HP17+HL17))+(0.000023118*HV17)+(0.000028232*HU17)</f>
        <v>2.712942685001127E-5</v>
      </c>
      <c r="IA17" s="187">
        <f>(0.0000000083082*HR17)+(0.000000007467*HT17)+(0.0000000083672*HS17)+(0.0000000052863*(HP17+HL17))+(0.0000000025785*HV17)+(0.000000007526*HU17)</f>
        <v>7.7528225999005693E-9</v>
      </c>
      <c r="IB17" s="82">
        <f>GT17</f>
        <v>2.1844149527858931</v>
      </c>
      <c r="IC17" s="82" t="e">
        <f ca="1">HD17+HD17*(HX17*(ID17-0.001)+HY17*(ID17-0.001)^2+HZ17*(D17-25)+IA17*(D17-25)^2)</f>
        <v>#REF!</v>
      </c>
      <c r="ID17" s="82" t="e">
        <f ca="1">ID$8+ID$9*IE17+ID$10*#REF!+ID$11*EW17/(EW17+EU17)</f>
        <v>#REF!</v>
      </c>
      <c r="IE17" s="82" t="e">
        <f ca="1">HD17+HD17*(HX17*(IF17-0.001)+HY17*(IF17-0.001)^2+HZ17*(D17-25)+IA17*(D17-25)^2)</f>
        <v>#REF!</v>
      </c>
      <c r="IF17" s="82" t="e">
        <f ca="1">IF$8+IF$9*IE17+IF$10*#REF!+IF$11*(EW17/(EW17+EU17))</f>
        <v>#REF!</v>
      </c>
      <c r="IG17" s="82" t="e">
        <f ca="1">IF(HA17&gt;HB17,IF17,ID17)</f>
        <v>#REF!</v>
      </c>
      <c r="IH17" s="185">
        <f>(1-EX17-EY17-EZ17)*(1-0.5*(ET17+FA17+EY17+EZ17))</f>
        <v>8.6311718200121498E-2</v>
      </c>
      <c r="II17" s="188">
        <f>D17-25</f>
        <v>975</v>
      </c>
      <c r="IJ17" s="188"/>
      <c r="IK17" s="82">
        <f>1.4133+(0.05601*HE17)</f>
        <v>2.0722409448378243</v>
      </c>
      <c r="IL17" s="188">
        <f>(7500*IB17)/IK17^3</f>
        <v>1841.0926848237059</v>
      </c>
      <c r="IM17" s="187">
        <f>0.0000329*(0.75-IB17/6)</f>
        <v>1.2697124675557353E-5</v>
      </c>
    </row>
    <row r="18" spans="1:247" s="80" customFormat="1">
      <c r="A18" s="163" t="s">
        <v>183</v>
      </c>
      <c r="B18" s="163" t="s">
        <v>186</v>
      </c>
      <c r="C18" s="98">
        <v>2</v>
      </c>
      <c r="D18" s="175">
        <v>965</v>
      </c>
      <c r="E18" s="119">
        <f ca="1">BP18-BX18</f>
        <v>8.5955901826140213E-3</v>
      </c>
      <c r="F18" s="176">
        <v>56.2</v>
      </c>
      <c r="G18" s="176">
        <v>0.34</v>
      </c>
      <c r="H18" s="176">
        <v>20.399999999999999</v>
      </c>
      <c r="I18" s="176">
        <v>5.88</v>
      </c>
      <c r="J18" s="176">
        <v>0.2</v>
      </c>
      <c r="K18" s="176">
        <v>2.58</v>
      </c>
      <c r="L18" s="176">
        <v>7.18</v>
      </c>
      <c r="M18" s="176">
        <v>6.02</v>
      </c>
      <c r="N18" s="176">
        <v>1.02</v>
      </c>
      <c r="O18" s="176">
        <v>0</v>
      </c>
      <c r="P18" s="176">
        <v>0.23</v>
      </c>
      <c r="Q18" s="176">
        <v>6.2</v>
      </c>
      <c r="R18" s="177">
        <f ca="1">0.7996+15.347*(AJ18/10)^0.5-0.00233*(AI18-273.15)+0.06248*(N18+M18)</f>
        <v>5.1717845930272901</v>
      </c>
      <c r="S18" s="67"/>
      <c r="T18" s="176">
        <v>51</v>
      </c>
      <c r="U18" s="176">
        <v>0.56000000000000005</v>
      </c>
      <c r="V18" s="176">
        <v>4.1399999999999997</v>
      </c>
      <c r="W18" s="176">
        <v>7.33</v>
      </c>
      <c r="X18" s="176">
        <v>0.2</v>
      </c>
      <c r="Y18" s="176">
        <v>14.4</v>
      </c>
      <c r="Z18" s="176">
        <v>22.4</v>
      </c>
      <c r="AA18" s="176">
        <v>0.31</v>
      </c>
      <c r="AB18" s="176">
        <v>0</v>
      </c>
      <c r="AC18" s="176">
        <v>0.09</v>
      </c>
      <c r="AE18" s="178">
        <f ca="1">10^4/(7.53-0.14*FN18+0.07*Q18-14.9*DJ18*DD18-0.08*LN(DE18)-3.62*(DK18+DL18)-1.1*DI18/(DI18+DG18)-0.18*LN(FJ18)-0.027*AG18)</f>
        <v>1246.895515051508</v>
      </c>
      <c r="AF18" s="179">
        <f t="shared" ref="AF18" ca="1" si="22">AE18-273.15</f>
        <v>973.74551505150805</v>
      </c>
      <c r="AG18" s="179">
        <f ca="1">-26.2712+39.16138*AE18*FM18/10^4-4.21676*LN(FL18)+78.43463*DF18+393.8126*(DK18+DL18)^2</f>
        <v>3.5815691040872855</v>
      </c>
      <c r="AH18" s="175"/>
      <c r="AI18" s="180">
        <f ca="1">AY18</f>
        <v>1373.639596331624</v>
      </c>
      <c r="AJ18" s="180">
        <f ca="1">BA18</f>
        <v>1.7918736119682093</v>
      </c>
      <c r="AK18" s="180"/>
      <c r="AL18" s="180">
        <f t="shared" ca="1" si="5"/>
        <v>1307.657654540938</v>
      </c>
      <c r="AM18" s="180">
        <f t="shared" ca="1" si="5"/>
        <v>-1.0028907061719696</v>
      </c>
      <c r="AN18" s="181"/>
      <c r="AO18" s="180">
        <f ca="1">10^4/(7.53-0.14*FN18+0.07*Q18-14.9*DJ18*DD18-0.08*LN(DE18)-3.62*(DK18+DL18)-1.1*DI18/(DI18+DG18)-0.18*LN(FJ18)-0.027*AQ18)</f>
        <v>1217.3533398358118</v>
      </c>
      <c r="AP18" s="180">
        <f t="shared" ca="1" si="6"/>
        <v>944.20333983581179</v>
      </c>
      <c r="AQ18" s="180">
        <f ca="1">IF(ABS(FE18)&gt;0,-54.3+299*(AO18)/10^4+36.4*(AO18)*FM18/10^4+367*DK18*DF18,0)</f>
        <v>-3.6267165877393417</v>
      </c>
      <c r="AR18" s="180"/>
      <c r="AS18" s="180">
        <f ca="1">10^4/(6.39+0.076*Q18-5.55*DJ18*DD18-0.386*LN(DI18)-0.046*AU18+2.2*10^-4*(AU18^2))</f>
        <v>1234.4104775209792</v>
      </c>
      <c r="AT18" s="180">
        <f t="shared" ca="1" si="7"/>
        <v>961.26047752097918</v>
      </c>
      <c r="AU18" s="182">
        <f ca="1">-54.3+299*(AS18)/10^4+36.4*(AS18)*FM18/10^4+367*DK18*DF18</f>
        <v>-3.0353297238637786</v>
      </c>
      <c r="AW18" s="182">
        <f t="shared" ref="AW18" si="23">IF(ABS(FE18)&gt;0,10^4/(6.73-0.26*FN18-0.86*LN(FP18)+0.52*LN(DJ18)),0)</f>
        <v>1359.0062272359787</v>
      </c>
      <c r="AX18" s="182">
        <f t="shared" ref="AX18" si="24">IF(AW18&gt;0,AW18-273.15,0)</f>
        <v>1085.8562272359786</v>
      </c>
      <c r="AY18" s="182">
        <f ca="1">IF(ABS(FE18)&gt;0,10^4/(6.59-0.16*FN18-0.65*LN(FP18)+0.23*LN(DJ18)-0.02*BA18),0)</f>
        <v>1373.639596331624</v>
      </c>
      <c r="AZ18" s="182">
        <f t="shared" ref="AZ18" ca="1" si="25">IF(AY18&gt;0,AY18-273.15,0)</f>
        <v>1100.4895963316239</v>
      </c>
      <c r="BA18" s="182">
        <f ca="1">IF(ABS(FE18)&gt;0,-54.3+299*(AY18)/10^4+36.4*(AY18)*FM18/10^4+367*DK18*DF18,0)</f>
        <v>1.7918736119682093</v>
      </c>
      <c r="BB18" s="182"/>
      <c r="BC18" s="182">
        <f ca="1">IF(ABS(FE18)&gt;0,10^4/(4.6-0.437*FO18-0.654*LN(FP18)-0.326*LN(DK18)-0.92*LN(DD18)+0.274*LN(FE18)-0.00632*BD18),0)</f>
        <v>1307.657654540938</v>
      </c>
      <c r="BD18" s="182">
        <f ca="1">IF(ABS(FE18)&gt;0,-88.3+0.00282*(BC18)*FM18+0.0219*(BC18)-25.1*LN(DJ18*DD18)+12.4*LN(DJ18)+7.03*FP18,0)</f>
        <v>-1.0028907061719696</v>
      </c>
      <c r="BE18" s="182">
        <f t="shared" ref="BE18" ca="1" si="26">BC18-273.15</f>
        <v>1034.5076545409379</v>
      </c>
      <c r="BF18" s="182"/>
      <c r="BG18" s="182">
        <f ca="1">-48.7+271.3*AI18/10^4+31.96*(AI18/10^4)*FM18-8.2*LN(DG18)+4.6*LN(DI18)-0.96*LN(DL18)-2.2*LN(FL18)-31*FP18+56.2*(DK18+DL18)+0.76*Q18</f>
        <v>6.8400750927357681</v>
      </c>
      <c r="BH18" s="182">
        <f ca="1">-40.73+358*AI18/10^4+21.7*(AI18/10^4)*FM18-106*DJ18-166*(DK18+DL18)^2-50.2*DD18*(DG18+DI18)-3.2*LN(FL18)-2.2*LN(FJ18)+0.86*LN(ET18)+0.4*Q18</f>
        <v>7.2486860825286445</v>
      </c>
      <c r="BI18" s="182">
        <f ca="1">-273.15+10^4/(7.53+0.07*Q18-1.1*FP18-14.9*DJ18*DD18-0.08*LN(DE18)-3.62*(DK18+DL18)-0.18*LN(FJ18)-0.026*AJ18-0.14*FO18)</f>
        <v>966.00248637975949</v>
      </c>
      <c r="BJ18" s="182">
        <f ca="1">-273.15+10^4/(6.39+0.076*Q18-5.55*DJ18*DD18-0.386*LN(DI18)-0.046*FR18+2.2*10^-4*AJ18^2)</f>
        <v>996.26231263617649</v>
      </c>
      <c r="BK18" s="182">
        <f ca="1">-273.15+10^4/(6.39+0.076*Q18-5.55*(DJ18*DD18)-0.386*LN(DI18)-0.046*AJ18+0.00022*AJ18^2)</f>
        <v>996.26231263617649</v>
      </c>
      <c r="BL18" s="182"/>
      <c r="BM18" s="182">
        <f ca="1">10^4/(3.12-0.0259*BD18-0.37*LN(DI18/(DI18+DG18))+0.47*LN(DJ18*(DI18+DG18)*DD18^2)-0.78*LN((DI18+DG18)^2*DD18^2)-0.34*LN(DJ18*DF18^2*DD18))-273.15</f>
        <v>1051.6922627717481</v>
      </c>
      <c r="BN18" s="181"/>
      <c r="BO18" s="183">
        <f ca="1">EXP(-9.8+0.24*LN(DJ18*(DG18+DI18)*DD18^2)+17558/AE18+8.7*LN(AE18/1670)-4.61*10^3*(FJ18^2/AE18))</f>
        <v>1.1353673458986895</v>
      </c>
      <c r="BP18" s="183">
        <f ca="1">EXP(-0.482-0.439*LN(DD18)+101.03*(DK18+DL18)^3-51.69*AG18/AE18-3742.5*FJ18^2/AE18)</f>
        <v>0.81528921480177019</v>
      </c>
      <c r="BQ18" s="183">
        <f ca="1">EXP(-6.96+18438/AE18+8*LN(AE18/1670)+0.66*LN((DG18+DI18)^2*DD18^2)-5.1*10^3*(FI18^2/AE18)+1.81*LN(DD18))</f>
        <v>7.2428622266528866E-2</v>
      </c>
      <c r="BR18" s="183">
        <f ca="1">EXP(2.58+0.12*AJ18/AO18-9*10^-7*AJ18^2/AO18+0.78*LN(DJ18*DF18^2*DD18)-4.3*10^3*(FI18^2/AO18))</f>
        <v>9.1163349941311023E-3</v>
      </c>
      <c r="BS18" s="183">
        <f ca="1">EXP(-1.06+0.23*AJ18/AO18-6*10^-7*AJ18^2/AO18+1.02*LN(DK18*DF18*DD18^2)-0.8*LN(DF18)-2.2*LN(DD18))</f>
        <v>2.7937710393484964E-2</v>
      </c>
      <c r="BT18" s="183">
        <f ca="1">EXP(5.1+0.52*LN(DJ18*DE18*DF18^2)+2.04*10^3*FI18^2/AO18-6.2*DD18+42.5*DK18*DF18-45.1*(DG18+DI18)*DF18)</f>
        <v>5.5408062065709904E-2</v>
      </c>
      <c r="BU18" s="183">
        <f t="shared" ref="BU18" si="27">EXP(12.8)*DJ18*DM18^2*DD18</f>
        <v>0</v>
      </c>
      <c r="BV18" s="182">
        <f t="shared" ref="BV18" ca="1" si="28">SUM(BP18:BU18)</f>
        <v>0.98017994452162505</v>
      </c>
      <c r="BW18" s="181"/>
      <c r="BX18" s="183">
        <f t="shared" ref="BX18" si="29">FI18</f>
        <v>0.80669362461915617</v>
      </c>
      <c r="BY18" s="183">
        <f t="shared" ref="BY18" si="30">FJ18</f>
        <v>0.10665186218694606</v>
      </c>
      <c r="BZ18" s="183">
        <f t="shared" ref="BZ18" si="31">FF18</f>
        <v>4.3110290586671068E-2</v>
      </c>
      <c r="CA18" s="183">
        <f t="shared" ref="CA18" si="32">FE18</f>
        <v>2.2215002217011448E-2</v>
      </c>
      <c r="CB18" s="183">
        <f t="shared" ref="CB18" si="33">FG18</f>
        <v>3.595277320074379E-2</v>
      </c>
      <c r="CC18" s="183">
        <f t="shared" ref="CC18" si="34">FH18</f>
        <v>1.3149298975326765E-3</v>
      </c>
      <c r="CD18" s="183">
        <f t="shared" ref="CD18" si="35">SUM(BX18:CC18)</f>
        <v>1.0159384827080611</v>
      </c>
      <c r="CE18" s="183">
        <f>(EU18/EW18)/($G$8*DG18/DI18)</f>
        <v>0.22334892290249428</v>
      </c>
      <c r="CF18" s="181"/>
      <c r="CG18" s="182">
        <f ca="1">3205-5.62*EW18+83.2*EY18+68.2*FL18+2.52*LN(ES18)-51.1*FL18^2+34.8*FJ18^2+0.384*(AI18)-518*LN(AI18)</f>
        <v>2.4865789361983843</v>
      </c>
      <c r="CH18" s="182">
        <f ca="1">1458+0.197*(AI18)-241*LN(AI18)+0.453*Q18+55.5*ES18+8.05*EU18-277*EZ18+18*FE18+44.1*FI18+2.2*LN(FE18)-27.7*ET18^2+97.3*GL18^2+30.7*GN18^2-27.6*FI18^2</f>
        <v>4.5040358741330735</v>
      </c>
      <c r="CI18" s="182">
        <f ca="1">-57.9+0.0475*(AI18)-40.6*DG18-47.7*FF18+0.67*Q18-153*DJ18*DD18+6.89*(ET18/DF18)</f>
        <v>7.8974324807345813</v>
      </c>
      <c r="CJ18" s="182">
        <f ca="1">-273.15+(93100+544*AJ18)/(61.1+36.6*EQ18+10.9*EU18-0.95*(ET18+FA18-EY18-EZ18)+0.395*(LN(FW18))^2)</f>
        <v>1142.1074879083444</v>
      </c>
      <c r="CK18" s="184">
        <f ca="1">EXP(-0.107-1719/AI18)</f>
        <v>0.25706663342392488</v>
      </c>
      <c r="CM18" s="182">
        <f t="shared" ref="CM18" si="36">698.443+4.985*ER18-26.826*GM18-3.764*FC18+53.989*ES18+3.948*EQ18+14.651*FA18-700.431*EX18-666.629*EY18-682.848*GN18-691.138*GL18-688.384*EV18-6.267*GN18^2-4.144*GL18^2</f>
        <v>-0.1392070298915197</v>
      </c>
      <c r="CN18" s="182">
        <f t="shared" ref="CN18" si="37">771.48+4.956*ER18-28.756*GM18-5.345*FC18+56.904*ES18+1.848*EQ18+14.827*FA18-773.74*EX18-736.57*EY18-754.81*GN18-763.2*GL18-759.66*EV18-1.185*GN18^2-1.876*GL18^2</f>
        <v>-0.40685688956204485</v>
      </c>
      <c r="CO18" s="182">
        <f ca="1">-273.15+(23166+39.28*AJ18)/(13.25+15.35*EQ18+4.5*EU18-1.55*(ET18-FA18-EY18-EZ18)+(LN(IH18))^2)</f>
        <v>857.07575045431724</v>
      </c>
      <c r="CP18" s="185"/>
      <c r="CQ18" s="80">
        <f t="shared" si="8"/>
        <v>0.93535249640921181</v>
      </c>
      <c r="CR18" s="80">
        <f t="shared" si="8"/>
        <v>4.2564485195070532E-3</v>
      </c>
      <c r="CS18" s="80">
        <f>H18*2/CS$10</f>
        <v>0.40015299967634682</v>
      </c>
      <c r="CT18" s="80">
        <f t="shared" si="9"/>
        <v>8.1841261357562797E-2</v>
      </c>
      <c r="CU18" s="80">
        <f t="shared" si="9"/>
        <v>2.8193832599118945E-3</v>
      </c>
      <c r="CV18" s="80">
        <f t="shared" si="9"/>
        <v>6.4012862119272332E-2</v>
      </c>
      <c r="CW18" s="80">
        <f t="shared" si="9"/>
        <v>0.12803731984721117</v>
      </c>
      <c r="CX18" s="80">
        <f t="shared" si="10"/>
        <v>0.19425965933567713</v>
      </c>
      <c r="CY18" s="80">
        <f t="shared" si="10"/>
        <v>2.1656970571998811E-2</v>
      </c>
      <c r="CZ18" s="80">
        <f t="shared" si="10"/>
        <v>0</v>
      </c>
      <c r="DA18" s="80">
        <f t="shared" si="10"/>
        <v>3.2408744724772257E-3</v>
      </c>
      <c r="DB18" s="80">
        <f t="shared" ref="DB18" si="38">SUM(CQ18:DA18)</f>
        <v>1.8356302755691771</v>
      </c>
      <c r="DD18" s="80">
        <f t="shared" si="11"/>
        <v>0.50955386215733744</v>
      </c>
      <c r="DE18" s="80">
        <f t="shared" si="11"/>
        <v>2.3187940274014321E-3</v>
      </c>
      <c r="DF18" s="80">
        <f t="shared" si="11"/>
        <v>0.21799215506634126</v>
      </c>
      <c r="DG18" s="80">
        <f t="shared" si="11"/>
        <v>4.4584828680811629E-2</v>
      </c>
      <c r="DH18" s="80">
        <f t="shared" si="11"/>
        <v>1.5359210933899438E-3</v>
      </c>
      <c r="DI18" s="80">
        <f t="shared" si="11"/>
        <v>3.4872415742556735E-2</v>
      </c>
      <c r="DJ18" s="80">
        <f t="shared" si="11"/>
        <v>6.9751148448186501E-2</v>
      </c>
      <c r="DK18" s="80">
        <f t="shared" si="11"/>
        <v>0.10582722562442085</v>
      </c>
      <c r="DL18" s="80">
        <f t="shared" si="11"/>
        <v>1.1798111449912534E-2</v>
      </c>
      <c r="DM18" s="80">
        <f t="shared" si="11"/>
        <v>0</v>
      </c>
      <c r="DN18" s="80">
        <f t="shared" si="11"/>
        <v>1.7655377096416228E-3</v>
      </c>
      <c r="DO18" s="80">
        <f t="shared" ref="DO18" si="39">SUM(DD18:DN18)</f>
        <v>0.99999999999999989</v>
      </c>
      <c r="DP18" s="80">
        <f t="shared" si="12"/>
        <v>43.888277268649858</v>
      </c>
      <c r="DQ18" s="80">
        <f t="shared" si="13"/>
        <v>0.84880742556707822</v>
      </c>
      <c r="DR18" s="80">
        <f t="shared" si="13"/>
        <v>7.0106210909527946E-3</v>
      </c>
      <c r="DS18" s="80">
        <f t="shared" si="13"/>
        <v>4.0603760261276371E-2</v>
      </c>
      <c r="DT18" s="80">
        <f t="shared" si="13"/>
        <v>0.10202320505968288</v>
      </c>
      <c r="DU18" s="80">
        <f t="shared" si="13"/>
        <v>2.8193832599118945E-3</v>
      </c>
      <c r="DV18" s="80">
        <f t="shared" si="13"/>
        <v>0.35728109089826421</v>
      </c>
      <c r="DW18" s="80">
        <f t="shared" si="13"/>
        <v>0.39944790593001817</v>
      </c>
      <c r="DX18" s="80">
        <f t="shared" si="13"/>
        <v>5.0017021921976669E-3</v>
      </c>
      <c r="DY18" s="80">
        <f t="shared" si="13"/>
        <v>0</v>
      </c>
      <c r="DZ18" s="80">
        <f t="shared" si="13"/>
        <v>5.9211227501378301E-4</v>
      </c>
      <c r="EA18" s="80">
        <f t="shared" ref="EA18" si="40">SUM(DQ18:DZ18)</f>
        <v>1.763587206534396</v>
      </c>
      <c r="EC18" s="80">
        <f t="shared" ref="EC18" si="41">DQ18*2</f>
        <v>1.6976148511341564</v>
      </c>
      <c r="ED18" s="80">
        <f t="shared" ref="ED18" si="42">DR18*2</f>
        <v>1.4021242181905589E-2</v>
      </c>
      <c r="EE18" s="80">
        <f t="shared" ref="EE18" si="43">DS18*3</f>
        <v>0.12181128078382911</v>
      </c>
      <c r="EF18" s="80">
        <f t="shared" ref="EF18" si="44">DT18</f>
        <v>0.10202320505968288</v>
      </c>
      <c r="EG18" s="80">
        <f t="shared" ref="EG18" si="45">DU18</f>
        <v>2.8193832599118945E-3</v>
      </c>
      <c r="EH18" s="80">
        <f t="shared" ref="EH18" si="46">DV18</f>
        <v>0.35728109089826421</v>
      </c>
      <c r="EI18" s="80">
        <f t="shared" ref="EI18" si="47">DW18</f>
        <v>0.39944790593001817</v>
      </c>
      <c r="EJ18" s="80">
        <f t="shared" ref="EJ18" si="48">DX18</f>
        <v>5.0017021921976669E-3</v>
      </c>
      <c r="EK18" s="80">
        <f t="shared" ref="EK18" si="49">DY18</f>
        <v>0</v>
      </c>
      <c r="EL18" s="80">
        <f t="shared" ref="EL18" si="50">DZ18*3</f>
        <v>1.7763368250413489E-3</v>
      </c>
      <c r="EM18" s="80">
        <f t="shared" ref="EM18" si="51">SUM(EC18:EL18)</f>
        <v>2.701796998265007</v>
      </c>
      <c r="EN18" s="80">
        <f t="shared" ref="EN18" si="52">6/EM18</f>
        <v>2.220744195012792</v>
      </c>
      <c r="EP18" s="80">
        <f t="shared" si="16"/>
        <v>1.8849841630118414</v>
      </c>
      <c r="EQ18" s="80">
        <f t="shared" si="16"/>
        <v>1.5568796091167665E-2</v>
      </c>
      <c r="ER18" s="80">
        <f t="shared" ref="ER18" si="53">2-EP18</f>
        <v>0.11501583698815865</v>
      </c>
      <c r="ES18" s="80">
        <f t="shared" ref="ES18" si="54">IF(ET18-ER18&lt;0,0,ET18-ER18)</f>
        <v>6.5325292803682516E-2</v>
      </c>
      <c r="ET18" s="80">
        <f>DS18*$EN18*2</f>
        <v>0.18034112979184116</v>
      </c>
      <c r="EU18" s="80">
        <f t="shared" si="17"/>
        <v>0.22656744039289045</v>
      </c>
      <c r="EV18" s="80">
        <f t="shared" si="17"/>
        <v>6.2611290079655811E-3</v>
      </c>
      <c r="EW18" s="80">
        <f t="shared" si="17"/>
        <v>0.79342990860015794</v>
      </c>
      <c r="EX18" s="80">
        <f t="shared" si="17"/>
        <v>0.88707161830410364</v>
      </c>
      <c r="EY18" s="80">
        <f t="shared" si="18"/>
        <v>2.2215002217011448E-2</v>
      </c>
      <c r="EZ18" s="80">
        <f t="shared" si="18"/>
        <v>0</v>
      </c>
      <c r="FA18" s="80">
        <f t="shared" si="18"/>
        <v>2.629859795065353E-3</v>
      </c>
      <c r="FB18" s="80">
        <f t="shared" ref="FB18" si="55">EP18+EQ18+ET18+EU18+EV18+EW18+EX18+EY18+EZ18+FA18</f>
        <v>4.0190690472120441</v>
      </c>
      <c r="FC18" s="80">
        <f t="shared" ref="FC18" si="56">IF(EY18+ER18-ES18-2*EQ18-FA18&gt;0,EY18+ER18-ES18-2*EQ18-FA18,0)</f>
        <v>3.8138094424086895E-2</v>
      </c>
      <c r="FD18" s="80">
        <f t="shared" ref="FD18" si="57">12-48/FB18</f>
        <v>5.6935714180690766E-2</v>
      </c>
      <c r="FE18" s="80">
        <f t="shared" ref="FE18" si="58">IF(EY18&lt;ES18,EY18,ES18)</f>
        <v>2.2215002217011448E-2</v>
      </c>
      <c r="FF18" s="80">
        <f t="shared" ref="FF18" si="59">IF(ES18&gt;EY18,ES18-EY18,0)</f>
        <v>4.3110290586671068E-2</v>
      </c>
      <c r="FG18" s="80">
        <f t="shared" ref="FG18" si="60">IF(ER18&gt;FF18,(ER18-FF18)/2,0)</f>
        <v>3.595277320074379E-2</v>
      </c>
      <c r="FH18" s="80">
        <f t="shared" ref="FH18" si="61">FA18/2</f>
        <v>1.3149298975326765E-3</v>
      </c>
      <c r="FI18" s="185">
        <f t="shared" ref="FI18" si="62">IF(EX18-FG18-FF18-FH18&gt;0,EX18-FG18-FF18-FH18,0)</f>
        <v>0.80669362461915617</v>
      </c>
      <c r="FJ18" s="80">
        <f t="shared" ref="FJ18" si="63">((EU18+EW18)-FI18)/2</f>
        <v>0.10665186218694606</v>
      </c>
      <c r="FK18" s="80">
        <f t="shared" ref="FK18" si="64">SUM(FE18:FJ18)</f>
        <v>1.0159384827080613</v>
      </c>
      <c r="FL18" s="80">
        <f t="shared" ref="FL18" si="65">EX18-FF18-FG18-FH18</f>
        <v>0.80669362461915617</v>
      </c>
      <c r="FM18" s="80">
        <f t="shared" ref="FM18" si="66">LN(FE18/(DD18^2*DK18*DF18))</f>
        <v>1.3106956539782686</v>
      </c>
      <c r="FN18" s="80">
        <f t="shared" ref="FN18" si="67">LN(FE18*DJ18*(DG18+DI18)/(FI18*DK18*DF18))</f>
        <v>-5.018290049490755</v>
      </c>
      <c r="FO18" s="80">
        <f t="shared" ref="FO18" si="68">LN((FE18*DJ18*(DG18+DI18))/(DK18*DF18*FL18))</f>
        <v>-5.018290049490755</v>
      </c>
      <c r="FP18" s="80">
        <f t="shared" ref="FP18" si="69">DI18/(DI18+DG18)</f>
        <v>0.43888277268649861</v>
      </c>
      <c r="FQ18" s="186">
        <f t="shared" ca="1" si="19"/>
        <v>1373.639596331624</v>
      </c>
      <c r="FR18" s="186">
        <f t="shared" ca="1" si="19"/>
        <v>1.7918736119682093</v>
      </c>
      <c r="FS18" s="80">
        <f t="shared" ref="FS18" ca="1" si="70">(FQ18)/10^4</f>
        <v>0.13736395963316239</v>
      </c>
      <c r="FT18" s="185">
        <f ca="1">LN(ABS(BG18-FR18))</f>
        <v>1.619032037431229</v>
      </c>
      <c r="FU18" s="185">
        <f ca="1">LN(ABS(BJ18-FQ18))</f>
        <v>5.9332454395368739</v>
      </c>
      <c r="FV18" s="80">
        <f>1458+0.45*Q18+0.197*(D18+273.15)-241*LN(D18+273.15)+55.5*ES18+8.05*EU18-276.6*EZ18+18.01*FE18+44.09*FL18+2.17*LN(FE18)+97.3*GL18^2+30.38*GN18^2-27.59*FL18^2-17.7*ET18^2</f>
        <v>3.2579136769658565</v>
      </c>
      <c r="FW18" s="80">
        <f t="shared" ref="FW18" si="71">(1-EX18-EY18-EZ18)*(1-0.5*(ET18+FA18+EY18+EZ18))</f>
        <v>8.140682210975482E-2</v>
      </c>
      <c r="FX18" s="185">
        <f t="shared" si="20"/>
        <v>77.78744811282499</v>
      </c>
      <c r="FY18" s="185">
        <f>2446.5+0.309*(D18+273.15)-400*LN(D18+273.15)-5.98*EW18-20.5*EY18+112*FE18+61.5*FF18+71.1*FL18+1.66*LN(FL18)-43.5*FL18^2+43*FJ18^2-26.2*ET18^2</f>
        <v>8.8066637827506344</v>
      </c>
      <c r="FZ18" s="185">
        <f>EXP(-0.107-1719/(D18+273.15))</f>
        <v>0.22416751571202168</v>
      </c>
      <c r="GA18" s="185">
        <f t="shared" ref="GA18" si="72">(EU18/EW18)/(DG18/DI18)</f>
        <v>0.22334892290249428</v>
      </c>
      <c r="GB18" s="80">
        <f t="shared" ref="GB18" si="73">EX18+EY18+EV18</f>
        <v>0.91554774952908069</v>
      </c>
      <c r="GC18" s="80">
        <f t="shared" ref="GC18" si="74">ES18+EQ18+FA18+FC18</f>
        <v>0.12166204311400244</v>
      </c>
      <c r="GD18" s="80">
        <f t="shared" ref="GD18" si="75">EXP(0.238*GC18+0.289*GB18-2.3315)</f>
        <v>0.13029539537400914</v>
      </c>
      <c r="GE18" s="80">
        <f t="shared" ref="GE18" si="76">1-EQ18-ES18</f>
        <v>0.91910591110514983</v>
      </c>
      <c r="GF18" s="80">
        <f t="shared" ref="GF18" si="77">(EU18-FC18)+EW18-GE18</f>
        <v>6.2753343463811673E-2</v>
      </c>
      <c r="GG18" s="80">
        <f t="shared" ref="GG18" si="78">EU18-FC18</f>
        <v>0.18842934596880356</v>
      </c>
      <c r="GH18" s="80">
        <f t="shared" ref="GH18" si="79">1-GD18</f>
        <v>0.86970460462599086</v>
      </c>
      <c r="GI18" s="80">
        <f t="shared" ref="GI18" si="80">(GD18*EW18)-(GD18*(1-GB18))+GG18+(1-GB18)</f>
        <v>0.36525812071701114</v>
      </c>
      <c r="GJ18" s="80">
        <f t="shared" ref="GJ18" si="81">-GG18*(1-GB18)</f>
        <v>-1.5913282321828908E-2</v>
      </c>
      <c r="GK18" s="80">
        <f t="shared" ref="GK18" si="82">(-GI18+SQRT(GI18^2-4*GH18*GJ18))/2*GH18</f>
        <v>3.0101315590363185E-2</v>
      </c>
      <c r="GL18" s="80">
        <f t="shared" ref="GL18" si="83">GK18</f>
        <v>3.0101315590363185E-2</v>
      </c>
      <c r="GM18" s="80">
        <f t="shared" ref="GM18" si="84">GG18-GL18</f>
        <v>0.15832803037844037</v>
      </c>
      <c r="GN18" s="80">
        <f t="shared" ref="GN18" si="85">1-GB18-GL18</f>
        <v>5.4350934880556125E-2</v>
      </c>
      <c r="GO18" s="80">
        <f t="shared" ref="GO18" si="86">EW18-GN18</f>
        <v>0.73907897371960185</v>
      </c>
      <c r="GP18" s="80">
        <f t="shared" ref="GP18" si="87">IF(1-GB18&gt;0,EX18,1-EY18-EZ18-EV18)</f>
        <v>0.88707161830410364</v>
      </c>
      <c r="GQ18" s="80">
        <f t="shared" ref="GQ18" si="88">IF(1-GB18&gt;0,EY18,IF(EX18&gt;0,EY18,1-EV18))</f>
        <v>2.2215002217011448E-2</v>
      </c>
      <c r="GR18" s="80">
        <f t="shared" ref="GR18" si="89">11.864*GM18+9.107*FC18-18.375*ES18+11.794*EQ18-1.4925*FA18+439.97*EX18+419.68*EY18+431.72*GN18+432.56*GL18+428.03*EV18-28.652*GN18^2-12.741*GL18^2</f>
        <v>439.88193902013461</v>
      </c>
      <c r="GS18" s="80">
        <f t="shared" ref="GS18" si="90">-0.3085*ER18+0.813*GM18-0.4173*FC18-2.209*ES18-1.0864*EQ18-0.8001*FA18+11.931*EX18+11.288*EY18+11.432*GN18+11.885*GL18+12.038*EV18+2.4355*GN18^2-1.661*GL18^2</f>
        <v>11.808571042429035</v>
      </c>
      <c r="GT18" s="80">
        <f t="shared" ref="GT18" si="91">3*(FC18+ES18+FA18)+2*(GM18+GO18)+4*EQ18</f>
        <v>2.1753689336292594</v>
      </c>
      <c r="GU18" s="80">
        <f t="shared" ref="GU18" si="92">32.9*(0.75*GT18/6)*(10^-6)</f>
        <v>8.9462047395503278E-6</v>
      </c>
      <c r="GV18" s="80">
        <f t="shared" ref="GV18" si="93">7500*GT18/((1.4133+0.05601*GS18)^3)</f>
        <v>1826.9618572528918</v>
      </c>
      <c r="GW18" s="80">
        <f>GS18*((2+3*GU18*(D18-25))/(2-3*GU18*(D18-25))-1)</f>
        <v>0.30171603261579921</v>
      </c>
      <c r="GX18" s="185">
        <f ca="1">-57.9+0.0475*(FQ18+273.15)-40.6*DG18-47.7*FF18+0.67*Q18-153*DD18*DJ18+6.89*((ER18+ES18)/DF18)</f>
        <v>20.872057480734583</v>
      </c>
      <c r="GY18" s="81" t="e">
        <f>#REF!</f>
        <v>#REF!</v>
      </c>
      <c r="GZ18" s="81" t="e">
        <f>#REF!</f>
        <v>#REF!</v>
      </c>
      <c r="HA18" s="81">
        <f>M18+N18</f>
        <v>7.0399999999999991</v>
      </c>
      <c r="HB18" s="81">
        <f>6*10^-5*(F18^3)-0.0166*(F18^2)+1.5751*F18-39.978</f>
        <v>6.7627756800000043</v>
      </c>
      <c r="HC18" s="81" t="e">
        <f t="shared" ref="HC18" si="94">IF(HA18&gt;HB18,GZ18,GY18)</f>
        <v>#REF!</v>
      </c>
      <c r="HD18" s="80">
        <f t="shared" ref="HD18" si="95">GR18</f>
        <v>439.88193902013461</v>
      </c>
      <c r="HE18" s="80">
        <f t="shared" ref="HE18" si="96">GS18</f>
        <v>11.808571042429035</v>
      </c>
      <c r="HF18" s="81">
        <f t="shared" ref="HF18" si="97">771.475-(1.323*HD18)-(16.064*HE18)</f>
        <v>-0.18169054921810357</v>
      </c>
      <c r="HG18" s="81"/>
      <c r="HH18" s="82">
        <f t="shared" ref="HH18" si="98">GL18+GM18+EV18</f>
        <v>0.19469047497676914</v>
      </c>
      <c r="HI18" s="82">
        <f t="shared" ref="HI18" si="99">GN18+GO18</f>
        <v>0.79342990860015794</v>
      </c>
      <c r="HJ18" s="82">
        <f t="shared" ref="HJ18" si="100">IF(EY18&gt;FC18,FC18,EY18)</f>
        <v>2.2215002217011448E-2</v>
      </c>
      <c r="HK18" s="82">
        <f t="shared" ref="HK18" si="101">EY18-HJ18</f>
        <v>0</v>
      </c>
      <c r="HL18" s="82">
        <f t="shared" ref="HL18" si="102">FC18-HJ18</f>
        <v>1.5923092207075447E-2</v>
      </c>
      <c r="HM18" s="82">
        <f t="shared" ref="HM18" si="103">IF(HK18&gt;ES18,ES18,HK18)</f>
        <v>0</v>
      </c>
      <c r="HN18" s="82">
        <f t="shared" ref="HN18" si="104">HK18-HM18</f>
        <v>0</v>
      </c>
      <c r="HO18" s="82">
        <f t="shared" ref="HO18" si="105">ES18-HM18</f>
        <v>6.5325292803682516E-2</v>
      </c>
      <c r="HP18" s="82">
        <f t="shared" ref="HP18" si="106">HO18+FA18+2*EQ18</f>
        <v>9.9092744781083208E-2</v>
      </c>
      <c r="HQ18" s="82">
        <f t="shared" ref="HQ18" si="107">HH18/(HH18+HI18)</f>
        <v>0.19703112921525123</v>
      </c>
      <c r="HR18" s="82">
        <f t="shared" ref="HR18" si="108">(EX18-HP18-HL18)*(1-HQ18)</f>
        <v>0.61993675890610134</v>
      </c>
      <c r="HS18" s="82">
        <f t="shared" ref="HS18" si="109">(EX18-HP18-HL18)*HQ18</f>
        <v>0.15211902240984371</v>
      </c>
      <c r="HT18" s="82">
        <f t="shared" ref="HT18" si="110">(1-HJ18-HM18-HL18-HP18-HR18-HS18)*(1-HQ18)</f>
        <v>7.2840019885228577E-2</v>
      </c>
      <c r="HU18" s="82">
        <f t="shared" ref="HU18" si="111">(1-HJ18-HM18-HL18-HP18-HR18-HS18)*HQ18</f>
        <v>1.7873359593656282E-2</v>
      </c>
      <c r="HV18" s="82">
        <f t="shared" ref="HV18" si="112">HM18+HJ18</f>
        <v>2.2215002217011448E-2</v>
      </c>
      <c r="HW18" s="82"/>
      <c r="HX18" s="187">
        <f t="shared" ref="HX18" si="113">(-0.000000872*HR18)-(0.000000749*HT18)-(0.000000993*HS18)-(0.00000087*(HP18+HL18))-(0.00000086*HV18)-(0.00000087*HU18)</f>
        <v>-8.8091472084594021E-7</v>
      </c>
      <c r="HY18" s="187">
        <f t="shared" ref="HY18" si="114">(0.000000000001707*HR18)+(0.000000000000447*HT18)+(0.0000000000014835*HS18)+(0.000000000002171*(HP18+HL18))+(0.000000000002149*HV18)+(0.0000000000002235*HU18)</f>
        <v>1.6178942238212475E-12</v>
      </c>
      <c r="HZ18" s="187">
        <f t="shared" ref="HZ18" si="115">(0.000027795*HR18)+(0.000024656*HT18)+(0.000031371*HS18)+(0.00002225*(HP18+HL18))+(0.000023118*HV18)+(0.000028232*HU18)</f>
        <v>2.7376481078391994E-5</v>
      </c>
      <c r="IA18" s="187">
        <f t="shared" ref="IA18" si="116">(0.0000000083082*HR18)+(0.000000007467*HT18)+(0.0000000083672*HS18)+(0.0000000052863*(HP18+HL18))+(0.0000000025785*HV18)+(0.000000007526*HU18)</f>
        <v>7.7670697997232403E-9</v>
      </c>
      <c r="IB18" s="82">
        <f t="shared" ref="IB18" si="117">GT18</f>
        <v>2.1753689336292594</v>
      </c>
      <c r="IC18" s="82" t="e">
        <f ca="1">HD18+HD18*(HX18*(ID18-0.001)+HY18*(ID18-0.001)^2+HZ18*(D18-25)+IA18*(D18-25)^2)</f>
        <v>#REF!</v>
      </c>
      <c r="ID18" s="82" t="e">
        <f ca="1">ID$8+ID$9*IE18+ID$10*#REF!+ID$11*EW18/(EW18+EU18)</f>
        <v>#REF!</v>
      </c>
      <c r="IE18" s="82" t="e">
        <f ca="1">HD18+HD18*(HX18*(IF18-0.001)+HY18*(IF18-0.001)^2+HZ18*(D18-25)+IA18*(D18-25)^2)</f>
        <v>#REF!</v>
      </c>
      <c r="IF18" s="82" t="e">
        <f ca="1">IF$8+IF$9*IE18+IF$10*#REF!+IF$11*(EW18/(EW18+EU18))</f>
        <v>#REF!</v>
      </c>
      <c r="IG18" s="82" t="e">
        <f t="shared" ref="IG18" ca="1" si="118">IF(HA18&gt;HB18,IF18,ID18)</f>
        <v>#REF!</v>
      </c>
      <c r="IH18" s="185">
        <f t="shared" ref="IH18" si="119">(1-EX18-EY18-EZ18)*(1-0.5*(ET18+FA18+EY18+EZ18))</f>
        <v>8.140682210975482E-2</v>
      </c>
      <c r="II18" s="188">
        <f>D18-25</f>
        <v>940</v>
      </c>
      <c r="IJ18" s="188"/>
      <c r="IK18" s="82">
        <f t="shared" ref="IK18" si="120">1.4133+(0.05601*HE18)</f>
        <v>2.0746980640864501</v>
      </c>
      <c r="IL18" s="188">
        <f t="shared" ref="IL18" si="121">(7500*IB18)/IK18^3</f>
        <v>1826.9618572528918</v>
      </c>
      <c r="IM18" s="187">
        <f t="shared" ref="IM18" si="122">0.0000329*(0.75-IB18/6)</f>
        <v>1.2746727013932894E-5</v>
      </c>
    </row>
  </sheetData>
  <mergeCells count="2">
    <mergeCell ref="AW13:AX13"/>
    <mergeCell ref="AY13:AZ13"/>
  </mergeCells>
  <phoneticPr fontId="3"/>
  <pageMargins left="0.75" right="0.75" top="1" bottom="1" header="0.5" footer="0.5"/>
  <pageSetup orientation="portrait" horizontalDpi="4294967292" verticalDpi="4294967292"/>
  <legacy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T162"/>
  <sheetViews>
    <sheetView workbookViewId="0">
      <selection activeCell="E11" sqref="E11"/>
    </sheetView>
  </sheetViews>
  <sheetFormatPr baseColWidth="10" defaultColWidth="11" defaultRowHeight="13" x14ac:dyDescent="0"/>
  <cols>
    <col min="3" max="3" width="14.42578125" customWidth="1"/>
    <col min="5" max="5" width="7" customWidth="1"/>
    <col min="10" max="10" width="4.42578125" customWidth="1"/>
  </cols>
  <sheetData>
    <row r="1" spans="1:14" ht="25">
      <c r="A1" s="50" t="s">
        <v>207</v>
      </c>
    </row>
    <row r="3" spans="1:14" ht="19" thickBot="1">
      <c r="B3" s="51" t="s">
        <v>236</v>
      </c>
      <c r="C3" s="52"/>
      <c r="D3" s="53"/>
    </row>
    <row r="4" spans="1:14" ht="19" thickBot="1">
      <c r="B4" s="54"/>
      <c r="C4" s="55">
        <v>0.27</v>
      </c>
      <c r="D4" s="56"/>
    </row>
    <row r="5" spans="1:14" ht="19" thickBot="1">
      <c r="B5" s="51" t="s">
        <v>199</v>
      </c>
      <c r="C5" s="57"/>
      <c r="D5" s="53"/>
      <c r="G5" s="58" t="s">
        <v>200</v>
      </c>
      <c r="L5" s="58" t="s">
        <v>201</v>
      </c>
    </row>
    <row r="6" spans="1:14" ht="19" thickBot="1">
      <c r="B6" s="59"/>
      <c r="C6" s="55">
        <v>0.03</v>
      </c>
      <c r="D6" s="56"/>
      <c r="G6" s="60">
        <f>C4-C6</f>
        <v>0.24000000000000002</v>
      </c>
      <c r="L6" s="60">
        <f>C4+C6</f>
        <v>0.30000000000000004</v>
      </c>
    </row>
    <row r="7" spans="1:14" ht="16">
      <c r="A7" s="58"/>
      <c r="B7" s="58"/>
    </row>
    <row r="8" spans="1:14">
      <c r="C8" t="s">
        <v>202</v>
      </c>
      <c r="D8" t="s">
        <v>202</v>
      </c>
      <c r="H8" t="s">
        <v>202</v>
      </c>
      <c r="I8" t="s">
        <v>202</v>
      </c>
      <c r="M8" t="s">
        <v>202</v>
      </c>
      <c r="N8" t="s">
        <v>202</v>
      </c>
    </row>
    <row r="9" spans="1:14">
      <c r="A9" s="16" t="s">
        <v>203</v>
      </c>
      <c r="B9" s="16" t="s">
        <v>204</v>
      </c>
      <c r="C9" s="16" t="s">
        <v>205</v>
      </c>
      <c r="D9" s="16" t="s">
        <v>206</v>
      </c>
      <c r="F9" s="16" t="s">
        <v>203</v>
      </c>
      <c r="G9" s="16" t="s">
        <v>204</v>
      </c>
      <c r="H9" s="16" t="s">
        <v>205</v>
      </c>
      <c r="I9" s="16" t="s">
        <v>206</v>
      </c>
      <c r="K9" s="16" t="s">
        <v>203</v>
      </c>
      <c r="L9" s="16" t="s">
        <v>204</v>
      </c>
      <c r="M9" s="16" t="s">
        <v>205</v>
      </c>
      <c r="N9" s="16" t="s">
        <v>206</v>
      </c>
    </row>
    <row r="10" spans="1:14" ht="16">
      <c r="A10">
        <v>0</v>
      </c>
      <c r="B10">
        <f t="shared" ref="B10:B41" si="0">$C$4*A10</f>
        <v>0</v>
      </c>
      <c r="C10" s="58">
        <f>100*B10/(B10+1)</f>
        <v>0</v>
      </c>
      <c r="D10" s="58">
        <f>100*A10/(A10+1)</f>
        <v>0</v>
      </c>
      <c r="F10">
        <f>A10</f>
        <v>0</v>
      </c>
      <c r="G10">
        <f t="shared" ref="G10:G41" si="1">$G$6*A10</f>
        <v>0</v>
      </c>
      <c r="H10" s="58">
        <f t="shared" ref="H10:H40" si="2">100*G10/(G10+1)</f>
        <v>0</v>
      </c>
      <c r="I10" s="58">
        <f t="shared" ref="I10:I41" si="3">100*F10/(F10+1)</f>
        <v>0</v>
      </c>
      <c r="K10">
        <f>A10</f>
        <v>0</v>
      </c>
      <c r="L10">
        <f t="shared" ref="L10:L41" si="4">$L$6*K10</f>
        <v>0</v>
      </c>
      <c r="M10" s="58">
        <f>100*L10/(L10+1)</f>
        <v>0</v>
      </c>
      <c r="N10" s="58">
        <f>100*K10/(K10+1)</f>
        <v>0</v>
      </c>
    </row>
    <row r="11" spans="1:14" ht="16">
      <c r="A11">
        <v>0.1</v>
      </c>
      <c r="B11">
        <f t="shared" si="0"/>
        <v>2.7000000000000003E-2</v>
      </c>
      <c r="C11" s="58">
        <f t="shared" ref="C11:C41" si="5">100*B11/(B11+1)</f>
        <v>2.6290165530671863</v>
      </c>
      <c r="D11" s="58">
        <f t="shared" ref="D11:D41" si="6">100*A11/(A11+1)</f>
        <v>9.0909090909090899</v>
      </c>
      <c r="F11">
        <f t="shared" ref="F11:F41" si="7">A11</f>
        <v>0.1</v>
      </c>
      <c r="G11">
        <f t="shared" si="1"/>
        <v>2.4000000000000004E-2</v>
      </c>
      <c r="H11" s="58">
        <f t="shared" si="2"/>
        <v>2.3437500000000004</v>
      </c>
      <c r="I11" s="58">
        <f t="shared" si="3"/>
        <v>9.0909090909090899</v>
      </c>
      <c r="K11">
        <f t="shared" ref="K11:K41" si="8">A11</f>
        <v>0.1</v>
      </c>
      <c r="L11">
        <f t="shared" si="4"/>
        <v>3.0000000000000006E-2</v>
      </c>
      <c r="M11" s="58">
        <f t="shared" ref="M11:M41" si="9">100*L11/(L11+1)</f>
        <v>2.9126213592233015</v>
      </c>
      <c r="N11" s="58">
        <f t="shared" ref="N11:N41" si="10">100*K11/(K11+1)</f>
        <v>9.0909090909090899</v>
      </c>
    </row>
    <row r="12" spans="1:14" ht="16">
      <c r="A12">
        <v>0.2</v>
      </c>
      <c r="B12">
        <f t="shared" si="0"/>
        <v>5.4000000000000006E-2</v>
      </c>
      <c r="C12" s="58">
        <f t="shared" si="5"/>
        <v>5.1233396584440225</v>
      </c>
      <c r="D12" s="58">
        <f t="shared" si="6"/>
        <v>16.666666666666668</v>
      </c>
      <c r="F12">
        <f t="shared" si="7"/>
        <v>0.2</v>
      </c>
      <c r="G12">
        <f t="shared" si="1"/>
        <v>4.8000000000000008E-2</v>
      </c>
      <c r="H12" s="58">
        <f t="shared" si="2"/>
        <v>4.5801526717557257</v>
      </c>
      <c r="I12" s="58">
        <f t="shared" si="3"/>
        <v>16.666666666666668</v>
      </c>
      <c r="K12">
        <f t="shared" si="8"/>
        <v>0.2</v>
      </c>
      <c r="L12">
        <f t="shared" si="4"/>
        <v>6.0000000000000012E-2</v>
      </c>
      <c r="M12" s="58">
        <f t="shared" si="9"/>
        <v>5.6603773584905666</v>
      </c>
      <c r="N12" s="58">
        <f t="shared" si="10"/>
        <v>16.666666666666668</v>
      </c>
    </row>
    <row r="13" spans="1:14" ht="16">
      <c r="A13">
        <v>0.3</v>
      </c>
      <c r="B13">
        <f t="shared" si="0"/>
        <v>8.1000000000000003E-2</v>
      </c>
      <c r="C13" s="58">
        <f>100*B13/(B13+1)</f>
        <v>7.4930619796484734</v>
      </c>
      <c r="D13" s="58">
        <f t="shared" si="6"/>
        <v>23.076923076923077</v>
      </c>
      <c r="F13">
        <f t="shared" si="7"/>
        <v>0.3</v>
      </c>
      <c r="G13">
        <f t="shared" si="1"/>
        <v>7.2000000000000008E-2</v>
      </c>
      <c r="H13" s="58">
        <f t="shared" si="2"/>
        <v>6.7164179104477615</v>
      </c>
      <c r="I13" s="58">
        <f t="shared" si="3"/>
        <v>23.076923076923077</v>
      </c>
      <c r="K13">
        <f t="shared" si="8"/>
        <v>0.3</v>
      </c>
      <c r="L13">
        <f t="shared" si="4"/>
        <v>9.0000000000000011E-2</v>
      </c>
      <c r="M13" s="58">
        <f t="shared" si="9"/>
        <v>8.2568807339449553</v>
      </c>
      <c r="N13" s="58">
        <f t="shared" si="10"/>
        <v>23.076923076923077</v>
      </c>
    </row>
    <row r="14" spans="1:14" ht="16">
      <c r="A14">
        <v>0.4</v>
      </c>
      <c r="B14">
        <f t="shared" si="0"/>
        <v>0.10800000000000001</v>
      </c>
      <c r="C14" s="58">
        <f t="shared" si="5"/>
        <v>9.7472924187725631</v>
      </c>
      <c r="D14" s="58">
        <f t="shared" si="6"/>
        <v>28.571428571428573</v>
      </c>
      <c r="F14">
        <f t="shared" si="7"/>
        <v>0.4</v>
      </c>
      <c r="G14">
        <f t="shared" si="1"/>
        <v>9.6000000000000016E-2</v>
      </c>
      <c r="H14" s="58">
        <f t="shared" si="2"/>
        <v>8.7591240875912408</v>
      </c>
      <c r="I14" s="58">
        <f t="shared" si="3"/>
        <v>28.571428571428573</v>
      </c>
      <c r="K14">
        <f t="shared" si="8"/>
        <v>0.4</v>
      </c>
      <c r="L14">
        <f t="shared" si="4"/>
        <v>0.12000000000000002</v>
      </c>
      <c r="M14" s="58">
        <f t="shared" si="9"/>
        <v>10.714285714285715</v>
      </c>
      <c r="N14" s="58">
        <f t="shared" si="10"/>
        <v>28.571428571428573</v>
      </c>
    </row>
    <row r="15" spans="1:14" ht="16">
      <c r="A15">
        <v>0.5</v>
      </c>
      <c r="B15">
        <f t="shared" si="0"/>
        <v>0.13500000000000001</v>
      </c>
      <c r="C15" s="58">
        <f t="shared" si="5"/>
        <v>11.894273127753303</v>
      </c>
      <c r="D15" s="58">
        <f t="shared" si="6"/>
        <v>33.333333333333336</v>
      </c>
      <c r="F15">
        <f t="shared" si="7"/>
        <v>0.5</v>
      </c>
      <c r="G15">
        <f t="shared" si="1"/>
        <v>0.12000000000000001</v>
      </c>
      <c r="H15" s="58">
        <f t="shared" si="2"/>
        <v>10.714285714285715</v>
      </c>
      <c r="I15" s="58">
        <f t="shared" si="3"/>
        <v>33.333333333333336</v>
      </c>
      <c r="K15">
        <f t="shared" si="8"/>
        <v>0.5</v>
      </c>
      <c r="L15">
        <f t="shared" si="4"/>
        <v>0.15000000000000002</v>
      </c>
      <c r="M15" s="58">
        <f t="shared" si="9"/>
        <v>13.043478260869568</v>
      </c>
      <c r="N15" s="58">
        <f t="shared" si="10"/>
        <v>33.333333333333336</v>
      </c>
    </row>
    <row r="16" spans="1:14" ht="16">
      <c r="A16">
        <v>0.6</v>
      </c>
      <c r="B16">
        <f t="shared" si="0"/>
        <v>0.16200000000000001</v>
      </c>
      <c r="C16" s="58">
        <f t="shared" si="5"/>
        <v>13.941480206540447</v>
      </c>
      <c r="D16" s="58">
        <f t="shared" si="6"/>
        <v>37.5</v>
      </c>
      <c r="F16">
        <f t="shared" si="7"/>
        <v>0.6</v>
      </c>
      <c r="G16">
        <f t="shared" si="1"/>
        <v>0.14400000000000002</v>
      </c>
      <c r="H16" s="58">
        <f t="shared" si="2"/>
        <v>12.587412587412588</v>
      </c>
      <c r="I16" s="58">
        <f t="shared" si="3"/>
        <v>37.5</v>
      </c>
      <c r="K16">
        <f t="shared" si="8"/>
        <v>0.6</v>
      </c>
      <c r="L16">
        <f t="shared" si="4"/>
        <v>0.18000000000000002</v>
      </c>
      <c r="M16" s="58">
        <f t="shared" si="9"/>
        <v>15.254237288135597</v>
      </c>
      <c r="N16" s="58">
        <f t="shared" si="10"/>
        <v>37.5</v>
      </c>
    </row>
    <row r="17" spans="1:14" ht="16">
      <c r="A17">
        <v>0.7</v>
      </c>
      <c r="B17">
        <f t="shared" si="0"/>
        <v>0.189</v>
      </c>
      <c r="C17" s="58">
        <f t="shared" si="5"/>
        <v>15.895710681244742</v>
      </c>
      <c r="D17" s="58">
        <f t="shared" si="6"/>
        <v>41.176470588235297</v>
      </c>
      <c r="F17">
        <f t="shared" si="7"/>
        <v>0.7</v>
      </c>
      <c r="G17">
        <f t="shared" si="1"/>
        <v>0.16800000000000001</v>
      </c>
      <c r="H17" s="58">
        <f t="shared" si="2"/>
        <v>14.383561643835618</v>
      </c>
      <c r="I17" s="58">
        <f t="shared" si="3"/>
        <v>41.176470588235297</v>
      </c>
      <c r="K17">
        <f t="shared" si="8"/>
        <v>0.7</v>
      </c>
      <c r="L17">
        <f t="shared" si="4"/>
        <v>0.21000000000000002</v>
      </c>
      <c r="M17" s="58">
        <f t="shared" si="9"/>
        <v>17.355371900826448</v>
      </c>
      <c r="N17" s="58">
        <f t="shared" si="10"/>
        <v>41.176470588235297</v>
      </c>
    </row>
    <row r="18" spans="1:14" ht="16">
      <c r="A18">
        <v>0.8</v>
      </c>
      <c r="B18">
        <f t="shared" si="0"/>
        <v>0.21600000000000003</v>
      </c>
      <c r="C18" s="58">
        <f t="shared" si="5"/>
        <v>17.763157894736842</v>
      </c>
      <c r="D18" s="58">
        <f t="shared" si="6"/>
        <v>44.444444444444443</v>
      </c>
      <c r="F18">
        <f t="shared" si="7"/>
        <v>0.8</v>
      </c>
      <c r="G18">
        <f t="shared" si="1"/>
        <v>0.19200000000000003</v>
      </c>
      <c r="H18" s="58">
        <f t="shared" si="2"/>
        <v>16.107382550335572</v>
      </c>
      <c r="I18" s="58">
        <f t="shared" si="3"/>
        <v>44.444444444444443</v>
      </c>
      <c r="K18">
        <f t="shared" si="8"/>
        <v>0.8</v>
      </c>
      <c r="L18">
        <f t="shared" si="4"/>
        <v>0.24000000000000005</v>
      </c>
      <c r="M18" s="58">
        <f t="shared" si="9"/>
        <v>19.354838709677423</v>
      </c>
      <c r="N18" s="58">
        <f t="shared" si="10"/>
        <v>44.444444444444443</v>
      </c>
    </row>
    <row r="19" spans="1:14" ht="16">
      <c r="A19">
        <v>0.9</v>
      </c>
      <c r="B19">
        <f t="shared" si="0"/>
        <v>0.24300000000000002</v>
      </c>
      <c r="C19" s="58">
        <f t="shared" si="5"/>
        <v>19.549477071600965</v>
      </c>
      <c r="D19" s="58">
        <f t="shared" si="6"/>
        <v>47.368421052631582</v>
      </c>
      <c r="F19">
        <f t="shared" si="7"/>
        <v>0.9</v>
      </c>
      <c r="G19">
        <f t="shared" si="1"/>
        <v>0.21600000000000003</v>
      </c>
      <c r="H19" s="58">
        <f t="shared" si="2"/>
        <v>17.763157894736842</v>
      </c>
      <c r="I19" s="58">
        <f t="shared" si="3"/>
        <v>47.368421052631582</v>
      </c>
      <c r="K19">
        <f t="shared" si="8"/>
        <v>0.9</v>
      </c>
      <c r="L19">
        <f t="shared" si="4"/>
        <v>0.27000000000000007</v>
      </c>
      <c r="M19" s="58">
        <f t="shared" si="9"/>
        <v>21.259842519685044</v>
      </c>
      <c r="N19" s="58">
        <f t="shared" si="10"/>
        <v>47.368421052631582</v>
      </c>
    </row>
    <row r="20" spans="1:14" ht="16">
      <c r="A20">
        <v>1</v>
      </c>
      <c r="B20">
        <f t="shared" si="0"/>
        <v>0.27</v>
      </c>
      <c r="C20" s="58">
        <f t="shared" si="5"/>
        <v>21.259842519685041</v>
      </c>
      <c r="D20" s="58">
        <f t="shared" si="6"/>
        <v>50</v>
      </c>
      <c r="F20">
        <f t="shared" si="7"/>
        <v>1</v>
      </c>
      <c r="G20">
        <f t="shared" si="1"/>
        <v>0.24000000000000002</v>
      </c>
      <c r="H20" s="58">
        <f t="shared" si="2"/>
        <v>19.354838709677423</v>
      </c>
      <c r="I20" s="58">
        <f t="shared" si="3"/>
        <v>50</v>
      </c>
      <c r="K20">
        <f t="shared" si="8"/>
        <v>1</v>
      </c>
      <c r="L20">
        <f t="shared" si="4"/>
        <v>0.30000000000000004</v>
      </c>
      <c r="M20" s="58">
        <f t="shared" si="9"/>
        <v>23.07692307692308</v>
      </c>
      <c r="N20" s="58">
        <f t="shared" si="10"/>
        <v>50</v>
      </c>
    </row>
    <row r="21" spans="1:14" ht="16">
      <c r="A21">
        <v>1.1000000000000001</v>
      </c>
      <c r="B21">
        <f t="shared" si="0"/>
        <v>0.29700000000000004</v>
      </c>
      <c r="C21" s="58">
        <f t="shared" si="5"/>
        <v>22.898997686969931</v>
      </c>
      <c r="D21" s="58">
        <f t="shared" si="6"/>
        <v>52.380952380952387</v>
      </c>
      <c r="F21">
        <f t="shared" si="7"/>
        <v>1.1000000000000001</v>
      </c>
      <c r="G21">
        <f t="shared" si="1"/>
        <v>0.26400000000000007</v>
      </c>
      <c r="H21" s="58">
        <f t="shared" si="2"/>
        <v>20.886075949367093</v>
      </c>
      <c r="I21" s="58">
        <f t="shared" si="3"/>
        <v>52.380952380952387</v>
      </c>
      <c r="K21">
        <f t="shared" si="8"/>
        <v>1.1000000000000001</v>
      </c>
      <c r="L21">
        <f t="shared" si="4"/>
        <v>0.33000000000000007</v>
      </c>
      <c r="M21" s="58">
        <f t="shared" si="9"/>
        <v>24.812030075187973</v>
      </c>
      <c r="N21" s="58">
        <f t="shared" si="10"/>
        <v>52.380952380952387</v>
      </c>
    </row>
    <row r="22" spans="1:14" ht="16">
      <c r="A22">
        <v>1.2</v>
      </c>
      <c r="B22">
        <f t="shared" si="0"/>
        <v>0.32400000000000001</v>
      </c>
      <c r="C22" s="58">
        <f t="shared" si="5"/>
        <v>24.471299093655588</v>
      </c>
      <c r="D22" s="58">
        <f t="shared" si="6"/>
        <v>54.54545454545454</v>
      </c>
      <c r="F22">
        <f t="shared" si="7"/>
        <v>1.2</v>
      </c>
      <c r="G22">
        <f t="shared" si="1"/>
        <v>0.28800000000000003</v>
      </c>
      <c r="H22" s="58">
        <f t="shared" si="2"/>
        <v>22.36024844720497</v>
      </c>
      <c r="I22" s="58">
        <f t="shared" si="3"/>
        <v>54.54545454545454</v>
      </c>
      <c r="K22">
        <f t="shared" si="8"/>
        <v>1.2</v>
      </c>
      <c r="L22">
        <f t="shared" si="4"/>
        <v>0.36000000000000004</v>
      </c>
      <c r="M22" s="58">
        <f t="shared" si="9"/>
        <v>26.47058823529412</v>
      </c>
      <c r="N22" s="58">
        <f t="shared" si="10"/>
        <v>54.54545454545454</v>
      </c>
    </row>
    <row r="23" spans="1:14" ht="16">
      <c r="A23">
        <v>1.3</v>
      </c>
      <c r="B23">
        <f t="shared" si="0"/>
        <v>0.35100000000000003</v>
      </c>
      <c r="C23" s="58">
        <f t="shared" si="5"/>
        <v>25.980754996299041</v>
      </c>
      <c r="D23" s="58">
        <f t="shared" si="6"/>
        <v>56.521739130434788</v>
      </c>
      <c r="F23">
        <f t="shared" si="7"/>
        <v>1.3</v>
      </c>
      <c r="G23">
        <f t="shared" si="1"/>
        <v>0.31200000000000006</v>
      </c>
      <c r="H23" s="58">
        <f t="shared" si="2"/>
        <v>23.780487804878053</v>
      </c>
      <c r="I23" s="58">
        <f t="shared" si="3"/>
        <v>56.521739130434788</v>
      </c>
      <c r="K23">
        <f t="shared" si="8"/>
        <v>1.3</v>
      </c>
      <c r="L23">
        <f t="shared" si="4"/>
        <v>0.39000000000000007</v>
      </c>
      <c r="M23" s="58">
        <f t="shared" si="9"/>
        <v>28.057553956834536</v>
      </c>
      <c r="N23" s="58">
        <f t="shared" si="10"/>
        <v>56.521739130434788</v>
      </c>
    </row>
    <row r="24" spans="1:14" ht="16">
      <c r="A24">
        <v>1.4</v>
      </c>
      <c r="B24">
        <f t="shared" si="0"/>
        <v>0.378</v>
      </c>
      <c r="C24" s="58">
        <f t="shared" si="5"/>
        <v>27.431059506531199</v>
      </c>
      <c r="D24" s="58">
        <f t="shared" si="6"/>
        <v>58.333333333333336</v>
      </c>
      <c r="F24">
        <f t="shared" si="7"/>
        <v>1.4</v>
      </c>
      <c r="G24">
        <f t="shared" si="1"/>
        <v>0.33600000000000002</v>
      </c>
      <c r="H24" s="58">
        <f t="shared" si="2"/>
        <v>25.149700598802394</v>
      </c>
      <c r="I24" s="58">
        <f t="shared" si="3"/>
        <v>58.333333333333336</v>
      </c>
      <c r="K24">
        <f t="shared" si="8"/>
        <v>1.4</v>
      </c>
      <c r="L24">
        <f t="shared" si="4"/>
        <v>0.42000000000000004</v>
      </c>
      <c r="M24" s="58">
        <f t="shared" si="9"/>
        <v>29.577464788732399</v>
      </c>
      <c r="N24" s="58">
        <f t="shared" si="10"/>
        <v>58.333333333333336</v>
      </c>
    </row>
    <row r="25" spans="1:14" ht="16">
      <c r="A25">
        <v>1.5</v>
      </c>
      <c r="B25">
        <f t="shared" si="0"/>
        <v>0.40500000000000003</v>
      </c>
      <c r="C25" s="58">
        <f t="shared" si="5"/>
        <v>28.82562277580071</v>
      </c>
      <c r="D25" s="58">
        <f t="shared" si="6"/>
        <v>60</v>
      </c>
      <c r="F25">
        <f t="shared" si="7"/>
        <v>1.5</v>
      </c>
      <c r="G25">
        <f t="shared" si="1"/>
        <v>0.36000000000000004</v>
      </c>
      <c r="H25" s="58">
        <f t="shared" si="2"/>
        <v>26.47058823529412</v>
      </c>
      <c r="I25" s="58">
        <f t="shared" si="3"/>
        <v>60</v>
      </c>
      <c r="K25">
        <f t="shared" si="8"/>
        <v>1.5</v>
      </c>
      <c r="L25">
        <f t="shared" si="4"/>
        <v>0.45000000000000007</v>
      </c>
      <c r="M25" s="58">
        <f t="shared" si="9"/>
        <v>31.03448275862069</v>
      </c>
      <c r="N25" s="58">
        <f t="shared" si="10"/>
        <v>60</v>
      </c>
    </row>
    <row r="26" spans="1:14" ht="16">
      <c r="A26">
        <v>1.6</v>
      </c>
      <c r="B26">
        <f t="shared" si="0"/>
        <v>0.43200000000000005</v>
      </c>
      <c r="C26" s="58">
        <f t="shared" si="5"/>
        <v>30.16759776536313</v>
      </c>
      <c r="D26" s="58">
        <f t="shared" si="6"/>
        <v>61.538461538461533</v>
      </c>
      <c r="F26">
        <f t="shared" si="7"/>
        <v>1.6</v>
      </c>
      <c r="G26">
        <f t="shared" si="1"/>
        <v>0.38400000000000006</v>
      </c>
      <c r="H26" s="58">
        <f t="shared" si="2"/>
        <v>27.745664739884393</v>
      </c>
      <c r="I26" s="58">
        <f t="shared" si="3"/>
        <v>61.538461538461533</v>
      </c>
      <c r="K26">
        <f t="shared" si="8"/>
        <v>1.6</v>
      </c>
      <c r="L26">
        <f t="shared" si="4"/>
        <v>0.48000000000000009</v>
      </c>
      <c r="M26" s="58">
        <f t="shared" si="9"/>
        <v>32.432432432432435</v>
      </c>
      <c r="N26" s="58">
        <f t="shared" si="10"/>
        <v>61.538461538461533</v>
      </c>
    </row>
    <row r="27" spans="1:14" ht="16">
      <c r="A27">
        <v>1.7</v>
      </c>
      <c r="B27">
        <f t="shared" si="0"/>
        <v>0.45900000000000002</v>
      </c>
      <c r="C27" s="58">
        <f t="shared" si="5"/>
        <v>31.459904043865659</v>
      </c>
      <c r="D27" s="58">
        <f t="shared" si="6"/>
        <v>62.962962962962962</v>
      </c>
      <c r="F27">
        <f t="shared" si="7"/>
        <v>1.7</v>
      </c>
      <c r="G27">
        <f t="shared" si="1"/>
        <v>0.40800000000000003</v>
      </c>
      <c r="H27" s="58">
        <f t="shared" si="2"/>
        <v>28.977272727272734</v>
      </c>
      <c r="I27" s="58">
        <f t="shared" si="3"/>
        <v>62.962962962962962</v>
      </c>
      <c r="K27">
        <f t="shared" si="8"/>
        <v>1.7</v>
      </c>
      <c r="L27">
        <f t="shared" si="4"/>
        <v>0.51</v>
      </c>
      <c r="M27" s="58">
        <f t="shared" si="9"/>
        <v>33.774834437086092</v>
      </c>
      <c r="N27" s="58">
        <f t="shared" si="10"/>
        <v>62.962962962962962</v>
      </c>
    </row>
    <row r="28" spans="1:14" ht="16">
      <c r="A28">
        <v>2.2000000000000002</v>
      </c>
      <c r="B28">
        <f t="shared" si="0"/>
        <v>0.59400000000000008</v>
      </c>
      <c r="C28" s="58">
        <f t="shared" si="5"/>
        <v>37.264742785445421</v>
      </c>
      <c r="D28" s="58">
        <f t="shared" si="6"/>
        <v>68.75</v>
      </c>
      <c r="F28">
        <f t="shared" si="7"/>
        <v>2.2000000000000002</v>
      </c>
      <c r="G28">
        <f t="shared" si="1"/>
        <v>0.52800000000000014</v>
      </c>
      <c r="H28" s="58">
        <f t="shared" si="2"/>
        <v>34.554973821989535</v>
      </c>
      <c r="I28" s="58">
        <f t="shared" si="3"/>
        <v>68.75</v>
      </c>
      <c r="K28">
        <f t="shared" si="8"/>
        <v>2.2000000000000002</v>
      </c>
      <c r="L28">
        <f t="shared" si="4"/>
        <v>0.66000000000000014</v>
      </c>
      <c r="M28" s="58">
        <f t="shared" si="9"/>
        <v>39.759036144578317</v>
      </c>
      <c r="N28" s="58">
        <f t="shared" si="10"/>
        <v>68.75</v>
      </c>
    </row>
    <row r="29" spans="1:14" ht="16">
      <c r="A29">
        <v>2.7</v>
      </c>
      <c r="B29">
        <f t="shared" si="0"/>
        <v>0.72900000000000009</v>
      </c>
      <c r="C29" s="58">
        <f t="shared" si="5"/>
        <v>42.1631000578369</v>
      </c>
      <c r="D29" s="58">
        <f t="shared" si="6"/>
        <v>72.972972972972968</v>
      </c>
      <c r="F29">
        <f t="shared" si="7"/>
        <v>2.7</v>
      </c>
      <c r="G29">
        <f t="shared" si="1"/>
        <v>0.64800000000000013</v>
      </c>
      <c r="H29" s="58">
        <f t="shared" si="2"/>
        <v>39.320388349514566</v>
      </c>
      <c r="I29" s="58">
        <f t="shared" si="3"/>
        <v>72.972972972972968</v>
      </c>
      <c r="K29">
        <f t="shared" si="8"/>
        <v>2.7</v>
      </c>
      <c r="L29">
        <f t="shared" si="4"/>
        <v>0.81000000000000016</v>
      </c>
      <c r="M29" s="58">
        <f t="shared" si="9"/>
        <v>44.751381215469621</v>
      </c>
      <c r="N29" s="58">
        <f t="shared" si="10"/>
        <v>72.972972972972968</v>
      </c>
    </row>
    <row r="30" spans="1:14" ht="16">
      <c r="A30">
        <v>3.2</v>
      </c>
      <c r="B30">
        <f t="shared" si="0"/>
        <v>0.8640000000000001</v>
      </c>
      <c r="C30" s="58">
        <f t="shared" si="5"/>
        <v>46.351931330472105</v>
      </c>
      <c r="D30" s="58">
        <f t="shared" si="6"/>
        <v>76.19047619047619</v>
      </c>
      <c r="F30">
        <f t="shared" si="7"/>
        <v>3.2</v>
      </c>
      <c r="G30">
        <f t="shared" si="1"/>
        <v>0.76800000000000013</v>
      </c>
      <c r="H30" s="58">
        <f t="shared" si="2"/>
        <v>43.438914027149323</v>
      </c>
      <c r="I30" s="58">
        <f t="shared" si="3"/>
        <v>76.19047619047619</v>
      </c>
      <c r="K30">
        <f t="shared" si="8"/>
        <v>3.2</v>
      </c>
      <c r="L30">
        <f t="shared" si="4"/>
        <v>0.96000000000000019</v>
      </c>
      <c r="M30" s="58">
        <f t="shared" si="9"/>
        <v>48.979591836734699</v>
      </c>
      <c r="N30" s="58">
        <f t="shared" si="10"/>
        <v>76.19047619047619</v>
      </c>
    </row>
    <row r="31" spans="1:14" ht="16">
      <c r="A31">
        <v>3.7</v>
      </c>
      <c r="B31">
        <f t="shared" si="0"/>
        <v>0.99900000000000011</v>
      </c>
      <c r="C31" s="58">
        <f t="shared" si="5"/>
        <v>49.974987493746873</v>
      </c>
      <c r="D31" s="58">
        <f t="shared" si="6"/>
        <v>78.723404255319153</v>
      </c>
      <c r="F31">
        <f t="shared" si="7"/>
        <v>3.7</v>
      </c>
      <c r="G31">
        <f t="shared" si="1"/>
        <v>0.88800000000000012</v>
      </c>
      <c r="H31" s="58">
        <f t="shared" si="2"/>
        <v>47.033898305084747</v>
      </c>
      <c r="I31" s="58">
        <f t="shared" si="3"/>
        <v>78.723404255319153</v>
      </c>
      <c r="K31">
        <f t="shared" si="8"/>
        <v>3.7</v>
      </c>
      <c r="L31">
        <f t="shared" si="4"/>
        <v>1.1100000000000003</v>
      </c>
      <c r="M31" s="58">
        <f t="shared" si="9"/>
        <v>52.606635071090054</v>
      </c>
      <c r="N31" s="58">
        <f t="shared" si="10"/>
        <v>78.723404255319153</v>
      </c>
    </row>
    <row r="32" spans="1:14" ht="16">
      <c r="A32">
        <v>4.2</v>
      </c>
      <c r="B32">
        <f t="shared" si="0"/>
        <v>1.1340000000000001</v>
      </c>
      <c r="C32" s="58">
        <f t="shared" si="5"/>
        <v>53.139643861293337</v>
      </c>
      <c r="D32" s="58">
        <f t="shared" si="6"/>
        <v>80.769230769230759</v>
      </c>
      <c r="F32">
        <f t="shared" si="7"/>
        <v>4.2</v>
      </c>
      <c r="G32">
        <f t="shared" si="1"/>
        <v>1.0080000000000002</v>
      </c>
      <c r="H32" s="58">
        <f t="shared" si="2"/>
        <v>50.199203187251008</v>
      </c>
      <c r="I32" s="58">
        <f t="shared" si="3"/>
        <v>80.769230769230759</v>
      </c>
      <c r="K32">
        <f t="shared" si="8"/>
        <v>4.2</v>
      </c>
      <c r="L32">
        <f t="shared" si="4"/>
        <v>1.2600000000000002</v>
      </c>
      <c r="M32" s="58">
        <f t="shared" si="9"/>
        <v>55.752212389380539</v>
      </c>
      <c r="N32" s="58">
        <f t="shared" si="10"/>
        <v>80.769230769230759</v>
      </c>
    </row>
    <row r="33" spans="1:14" ht="16">
      <c r="A33">
        <v>5.2</v>
      </c>
      <c r="B33">
        <f t="shared" si="0"/>
        <v>1.4040000000000001</v>
      </c>
      <c r="C33" s="58">
        <f t="shared" si="5"/>
        <v>58.402662229617306</v>
      </c>
      <c r="D33" s="58">
        <f t="shared" si="6"/>
        <v>83.870967741935488</v>
      </c>
      <c r="F33">
        <f t="shared" si="7"/>
        <v>5.2</v>
      </c>
      <c r="G33">
        <f t="shared" si="1"/>
        <v>1.2480000000000002</v>
      </c>
      <c r="H33" s="58">
        <f t="shared" si="2"/>
        <v>55.516014234875449</v>
      </c>
      <c r="I33" s="58">
        <f t="shared" si="3"/>
        <v>83.870967741935488</v>
      </c>
      <c r="K33">
        <f t="shared" si="8"/>
        <v>5.2</v>
      </c>
      <c r="L33">
        <f t="shared" si="4"/>
        <v>1.5600000000000003</v>
      </c>
      <c r="M33" s="58">
        <f t="shared" si="9"/>
        <v>60.9375</v>
      </c>
      <c r="N33" s="58">
        <f t="shared" si="10"/>
        <v>83.870967741935488</v>
      </c>
    </row>
    <row r="34" spans="1:14" ht="16">
      <c r="A34">
        <v>6.2</v>
      </c>
      <c r="B34">
        <f t="shared" si="0"/>
        <v>1.6740000000000002</v>
      </c>
      <c r="C34" s="58">
        <f t="shared" si="5"/>
        <v>62.602842183994007</v>
      </c>
      <c r="D34" s="58">
        <f t="shared" si="6"/>
        <v>86.111111111111114</v>
      </c>
      <c r="F34">
        <f t="shared" si="7"/>
        <v>6.2</v>
      </c>
      <c r="G34">
        <f t="shared" si="1"/>
        <v>1.4880000000000002</v>
      </c>
      <c r="H34" s="58">
        <f t="shared" si="2"/>
        <v>59.80707395498392</v>
      </c>
      <c r="I34" s="58">
        <f t="shared" si="3"/>
        <v>86.111111111111114</v>
      </c>
      <c r="K34">
        <f t="shared" si="8"/>
        <v>6.2</v>
      </c>
      <c r="L34">
        <f t="shared" si="4"/>
        <v>1.8600000000000003</v>
      </c>
      <c r="M34" s="58">
        <f t="shared" si="9"/>
        <v>65.03496503496504</v>
      </c>
      <c r="N34" s="58">
        <f t="shared" si="10"/>
        <v>86.111111111111114</v>
      </c>
    </row>
    <row r="35" spans="1:14" ht="16">
      <c r="A35">
        <v>7.2</v>
      </c>
      <c r="B35">
        <f t="shared" si="0"/>
        <v>1.9440000000000002</v>
      </c>
      <c r="C35" s="58">
        <f t="shared" si="5"/>
        <v>66.032608695652172</v>
      </c>
      <c r="D35" s="58">
        <f t="shared" si="6"/>
        <v>87.804878048780495</v>
      </c>
      <c r="F35">
        <f t="shared" si="7"/>
        <v>7.2</v>
      </c>
      <c r="G35">
        <f t="shared" si="1"/>
        <v>1.7280000000000002</v>
      </c>
      <c r="H35" s="58">
        <f t="shared" si="2"/>
        <v>63.343108504398828</v>
      </c>
      <c r="I35" s="58">
        <f t="shared" si="3"/>
        <v>87.804878048780495</v>
      </c>
      <c r="K35">
        <f t="shared" si="8"/>
        <v>7.2</v>
      </c>
      <c r="L35">
        <f t="shared" si="4"/>
        <v>2.1600000000000006</v>
      </c>
      <c r="M35" s="58">
        <f t="shared" si="9"/>
        <v>68.354430379746844</v>
      </c>
      <c r="N35" s="58">
        <f t="shared" si="10"/>
        <v>87.804878048780495</v>
      </c>
    </row>
    <row r="36" spans="1:14" ht="16">
      <c r="A36">
        <v>10</v>
      </c>
      <c r="B36">
        <f t="shared" si="0"/>
        <v>2.7</v>
      </c>
      <c r="C36" s="58">
        <f t="shared" si="5"/>
        <v>72.972972972972968</v>
      </c>
      <c r="D36" s="58">
        <f t="shared" si="6"/>
        <v>90.909090909090907</v>
      </c>
      <c r="F36">
        <f t="shared" si="7"/>
        <v>10</v>
      </c>
      <c r="G36">
        <f t="shared" si="1"/>
        <v>2.4000000000000004</v>
      </c>
      <c r="H36" s="58">
        <f t="shared" si="2"/>
        <v>70.588235294117652</v>
      </c>
      <c r="I36" s="58">
        <f t="shared" si="3"/>
        <v>90.909090909090907</v>
      </c>
      <c r="K36">
        <f t="shared" si="8"/>
        <v>10</v>
      </c>
      <c r="L36">
        <f t="shared" si="4"/>
        <v>3.0000000000000004</v>
      </c>
      <c r="M36" s="58">
        <f t="shared" si="9"/>
        <v>75.000000000000014</v>
      </c>
      <c r="N36" s="58">
        <f t="shared" si="10"/>
        <v>90.909090909090907</v>
      </c>
    </row>
    <row r="37" spans="1:14" ht="16">
      <c r="A37">
        <v>20</v>
      </c>
      <c r="B37">
        <f t="shared" si="0"/>
        <v>5.4</v>
      </c>
      <c r="C37" s="58">
        <f t="shared" si="5"/>
        <v>84.375</v>
      </c>
      <c r="D37" s="58">
        <f t="shared" si="6"/>
        <v>95.238095238095241</v>
      </c>
      <c r="F37">
        <f t="shared" si="7"/>
        <v>20</v>
      </c>
      <c r="G37">
        <f t="shared" si="1"/>
        <v>4.8000000000000007</v>
      </c>
      <c r="H37" s="58">
        <f t="shared" si="2"/>
        <v>82.758620689655174</v>
      </c>
      <c r="I37" s="58">
        <f t="shared" si="3"/>
        <v>95.238095238095241</v>
      </c>
      <c r="K37">
        <f t="shared" si="8"/>
        <v>20</v>
      </c>
      <c r="L37">
        <f t="shared" si="4"/>
        <v>6.0000000000000009</v>
      </c>
      <c r="M37" s="58">
        <f t="shared" si="9"/>
        <v>85.714285714285722</v>
      </c>
      <c r="N37" s="58">
        <f t="shared" si="10"/>
        <v>95.238095238095241</v>
      </c>
    </row>
    <row r="38" spans="1:14" ht="16">
      <c r="A38">
        <v>40</v>
      </c>
      <c r="B38">
        <f t="shared" si="0"/>
        <v>10.8</v>
      </c>
      <c r="C38" s="58">
        <f t="shared" si="5"/>
        <v>91.52542372881355</v>
      </c>
      <c r="D38" s="58">
        <f t="shared" si="6"/>
        <v>97.560975609756099</v>
      </c>
      <c r="F38">
        <f t="shared" si="7"/>
        <v>40</v>
      </c>
      <c r="G38">
        <f t="shared" si="1"/>
        <v>9.6000000000000014</v>
      </c>
      <c r="H38" s="58">
        <f t="shared" si="2"/>
        <v>90.566037735849051</v>
      </c>
      <c r="I38" s="58">
        <f t="shared" si="3"/>
        <v>97.560975609756099</v>
      </c>
      <c r="K38">
        <f t="shared" si="8"/>
        <v>40</v>
      </c>
      <c r="L38">
        <f t="shared" si="4"/>
        <v>12.000000000000002</v>
      </c>
      <c r="M38" s="58">
        <f t="shared" si="9"/>
        <v>92.307692307692307</v>
      </c>
      <c r="N38" s="58">
        <f t="shared" si="10"/>
        <v>97.560975609756099</v>
      </c>
    </row>
    <row r="39" spans="1:14" ht="16">
      <c r="A39">
        <v>80</v>
      </c>
      <c r="B39">
        <f t="shared" si="0"/>
        <v>21.6</v>
      </c>
      <c r="C39" s="58">
        <f t="shared" si="5"/>
        <v>95.575221238938042</v>
      </c>
      <c r="D39" s="58">
        <f t="shared" si="6"/>
        <v>98.76543209876543</v>
      </c>
      <c r="F39">
        <f t="shared" si="7"/>
        <v>80</v>
      </c>
      <c r="G39">
        <f t="shared" si="1"/>
        <v>19.200000000000003</v>
      </c>
      <c r="H39" s="58">
        <f t="shared" si="2"/>
        <v>95.049504950495049</v>
      </c>
      <c r="I39" s="58">
        <f t="shared" si="3"/>
        <v>98.76543209876543</v>
      </c>
      <c r="K39">
        <f t="shared" si="8"/>
        <v>80</v>
      </c>
      <c r="L39">
        <f t="shared" si="4"/>
        <v>24.000000000000004</v>
      </c>
      <c r="M39" s="58">
        <f t="shared" si="9"/>
        <v>96</v>
      </c>
      <c r="N39" s="58">
        <f t="shared" si="10"/>
        <v>98.76543209876543</v>
      </c>
    </row>
    <row r="40" spans="1:14" ht="16">
      <c r="A40">
        <v>200</v>
      </c>
      <c r="B40">
        <f t="shared" si="0"/>
        <v>54</v>
      </c>
      <c r="C40" s="58">
        <f t="shared" si="5"/>
        <v>98.181818181818187</v>
      </c>
      <c r="D40" s="58">
        <f t="shared" si="6"/>
        <v>99.50248756218906</v>
      </c>
      <c r="F40">
        <f t="shared" si="7"/>
        <v>200</v>
      </c>
      <c r="G40">
        <f t="shared" si="1"/>
        <v>48.000000000000007</v>
      </c>
      <c r="H40" s="58">
        <f t="shared" si="2"/>
        <v>97.959183673469397</v>
      </c>
      <c r="I40" s="58">
        <f t="shared" si="3"/>
        <v>99.50248756218906</v>
      </c>
      <c r="K40">
        <f t="shared" si="8"/>
        <v>200</v>
      </c>
      <c r="L40">
        <f t="shared" si="4"/>
        <v>60.000000000000007</v>
      </c>
      <c r="M40" s="58">
        <f t="shared" si="9"/>
        <v>98.360655737704917</v>
      </c>
      <c r="N40" s="58">
        <f t="shared" si="10"/>
        <v>99.50248756218906</v>
      </c>
    </row>
    <row r="41" spans="1:14" ht="16">
      <c r="A41">
        <v>1000</v>
      </c>
      <c r="B41">
        <f t="shared" si="0"/>
        <v>270</v>
      </c>
      <c r="C41" s="58">
        <f t="shared" si="5"/>
        <v>99.630996309963095</v>
      </c>
      <c r="D41" s="58">
        <f t="shared" si="6"/>
        <v>99.900099900099903</v>
      </c>
      <c r="F41">
        <f t="shared" si="7"/>
        <v>1000</v>
      </c>
      <c r="G41">
        <f t="shared" si="1"/>
        <v>240.00000000000003</v>
      </c>
      <c r="H41" s="58">
        <f>100*G41/(G41+1)</f>
        <v>99.585062240663902</v>
      </c>
      <c r="I41" s="58">
        <f t="shared" si="3"/>
        <v>99.900099900099903</v>
      </c>
      <c r="K41">
        <f t="shared" si="8"/>
        <v>1000</v>
      </c>
      <c r="L41">
        <f t="shared" si="4"/>
        <v>300.00000000000006</v>
      </c>
      <c r="M41" s="58">
        <f t="shared" si="9"/>
        <v>99.667774086378742</v>
      </c>
      <c r="N41" s="58">
        <f t="shared" si="10"/>
        <v>99.900099900099903</v>
      </c>
    </row>
    <row r="141" spans="1:72" s="16" customFormat="1">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c r="AW141"/>
      <c r="AX141"/>
      <c r="AY141"/>
      <c r="AZ141"/>
      <c r="BA141"/>
      <c r="BB141"/>
      <c r="BC141"/>
      <c r="BD141"/>
      <c r="BE141"/>
      <c r="BF141"/>
      <c r="BG141"/>
      <c r="BH141"/>
      <c r="BI141"/>
      <c r="BJ141"/>
      <c r="BK141"/>
      <c r="BL141"/>
      <c r="BM141"/>
      <c r="BN141"/>
      <c r="BO141"/>
      <c r="BP141"/>
      <c r="BQ141"/>
      <c r="BR141"/>
      <c r="BS141"/>
      <c r="BT141"/>
    </row>
    <row r="150" spans="1:72" s="16" customFormat="1">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c r="AW150"/>
      <c r="AX150"/>
      <c r="AY150"/>
      <c r="AZ150"/>
      <c r="BA150"/>
      <c r="BB150"/>
      <c r="BC150"/>
      <c r="BD150"/>
      <c r="BE150"/>
      <c r="BF150"/>
      <c r="BG150"/>
      <c r="BH150"/>
      <c r="BI150"/>
      <c r="BJ150"/>
      <c r="BK150"/>
      <c r="BL150"/>
      <c r="BM150"/>
      <c r="BN150"/>
      <c r="BO150"/>
      <c r="BP150"/>
      <c r="BQ150"/>
      <c r="BR150"/>
      <c r="BS150"/>
      <c r="BT150"/>
    </row>
    <row r="158" spans="1:72" s="16" customFormat="1">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c r="AW158"/>
      <c r="AX158"/>
      <c r="AY158"/>
      <c r="AZ158"/>
      <c r="BA158"/>
      <c r="BB158"/>
      <c r="BC158"/>
      <c r="BD158"/>
      <c r="BE158"/>
      <c r="BF158"/>
      <c r="BG158"/>
      <c r="BH158"/>
      <c r="BI158"/>
      <c r="BJ158"/>
      <c r="BK158"/>
      <c r="BL158"/>
      <c r="BM158"/>
      <c r="BN158"/>
      <c r="BO158"/>
      <c r="BP158"/>
      <c r="BQ158"/>
      <c r="BR158"/>
      <c r="BS158"/>
      <c r="BT158"/>
    </row>
    <row r="162" spans="1:72" s="16" customFormat="1">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c r="AW162"/>
      <c r="AX162"/>
      <c r="AY162"/>
      <c r="AZ162"/>
      <c r="BA162"/>
      <c r="BB162"/>
      <c r="BC162"/>
      <c r="BD162"/>
      <c r="BE162"/>
      <c r="BF162"/>
      <c r="BG162"/>
      <c r="BH162"/>
      <c r="BI162"/>
      <c r="BJ162"/>
      <c r="BK162"/>
      <c r="BL162"/>
      <c r="BM162"/>
      <c r="BN162"/>
      <c r="BO162"/>
      <c r="BP162"/>
      <c r="BQ162"/>
      <c r="BR162"/>
      <c r="BS162"/>
      <c r="BT162"/>
    </row>
  </sheetData>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3</vt:i4>
      </vt:variant>
      <vt:variant>
        <vt:lpstr>Charts</vt:lpstr>
      </vt:variant>
      <vt:variant>
        <vt:i4>3</vt:i4>
      </vt:variant>
    </vt:vector>
  </HeadingPairs>
  <TitlesOfParts>
    <vt:vector size="6" baseType="lpstr">
      <vt:lpstr>Instructions</vt:lpstr>
      <vt:lpstr>Cpx Input &amp; Models</vt:lpstr>
      <vt:lpstr>Rhodes Diag Calcs</vt:lpstr>
      <vt:lpstr>P v T plot</vt:lpstr>
      <vt:lpstr>Test for Equilibrium</vt:lpstr>
      <vt:lpstr>Rhodes Diag</vt:lpstr>
    </vt:vector>
  </TitlesOfParts>
  <Company>CSUF</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Keith Putirka</dc:creator>
  <cp:lastModifiedBy>Editorial Assistant</cp:lastModifiedBy>
  <dcterms:created xsi:type="dcterms:W3CDTF">2008-10-09T22:50:03Z</dcterms:created>
  <dcterms:modified xsi:type="dcterms:W3CDTF">2017-02-01T21:39:11Z</dcterms:modified>
</cp:coreProperties>
</file>