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tiff" ContentType="image/tif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4"/>
  <workbookPr showInkAnnotation="0" checkCompatibility="1" autoCompressPictures="0"/>
  <mc:AlternateContent xmlns:mc="http://schemas.openxmlformats.org/markup-compatibility/2006">
    <mc:Choice Requires="x15">
      <x15ac:absPath xmlns:x15ac="http://schemas.microsoft.com/office/spreadsheetml/2010/11/ac" url="/Volumes/newactivefiles/20-03 March 2020/6994R1 Urann - SC43/AM-20-36994/"/>
    </mc:Choice>
  </mc:AlternateContent>
  <xr:revisionPtr revIDLastSave="0" documentId="13_ncr:1_{8345DB2D-A2C5-7948-9CD2-D8463E23A628}" xr6:coauthVersionLast="36" xr6:coauthVersionMax="36" xr10:uidLastSave="{00000000-0000-0000-0000-000000000000}"/>
  <bookViews>
    <workbookView xWindow="1800" yWindow="460" windowWidth="31080" windowHeight="16680" tabRatio="833" xr2:uid="{00000000-000D-0000-FFFF-FFFF00000000}"/>
  </bookViews>
  <sheets>
    <sheet name="T1 HAL Averages" sheetId="5" r:id="rId1"/>
    <sheet name="T2 Calc Modes" sheetId="4" r:id="rId2"/>
    <sheet name="T3 Bulk Calcs" sheetId="20" r:id="rId3"/>
    <sheet name="TS1 ME Grt" sheetId="10" r:id="rId4"/>
    <sheet name="TS2 ME Omph" sheetId="11" r:id="rId5"/>
    <sheet name="TS3 ME Phengite" sheetId="12" r:id="rId6"/>
    <sheet name="TS4 ME Amph" sheetId="13" r:id="rId7"/>
    <sheet name="TS5 ME Apt" sheetId="14" r:id="rId8"/>
    <sheet name="TS6 ME Titanite" sheetId="15" r:id="rId9"/>
    <sheet name="TS7 Halogen Profiles" sheetId="6" r:id="rId10"/>
    <sheet name="TS8 Intermin Ds" sheetId="16" r:id="rId11"/>
    <sheet name="TS9 Pyrohydrolysis Stds" sheetId="18" r:id="rId12"/>
    <sheet name="TS10 Grain Boundary Calc" sheetId="21" r:id="rId13"/>
  </sheets>
  <calcPr calcId="181029" calcMode="manual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16" i="20" l="1"/>
  <c r="O15" i="20"/>
  <c r="Q25" i="21"/>
  <c r="Q26" i="21"/>
  <c r="Q27" i="21"/>
  <c r="Q28" i="21" s="1"/>
  <c r="P17" i="21"/>
  <c r="Q17" i="21" s="1"/>
  <c r="R17" i="21" s="1"/>
  <c r="T17" i="21" s="1"/>
  <c r="P18" i="21"/>
  <c r="P19" i="21" s="1"/>
  <c r="Q19" i="21" s="1"/>
  <c r="R19" i="21" s="1"/>
  <c r="T19" i="21" s="1"/>
  <c r="Q8" i="21"/>
  <c r="Q18" i="21"/>
  <c r="R18" i="21" s="1"/>
  <c r="T18" i="21" s="1"/>
  <c r="Q16" i="21"/>
  <c r="R16" i="21"/>
  <c r="T16" i="21"/>
  <c r="Z16" i="21" s="1"/>
  <c r="P12" i="21"/>
  <c r="Q12" i="21" s="1"/>
  <c r="R12" i="21" s="1"/>
  <c r="T12" i="21" s="1"/>
  <c r="P13" i="21"/>
  <c r="P14" i="21" s="1"/>
  <c r="R26" i="21"/>
  <c r="R25" i="21"/>
  <c r="R24" i="21"/>
  <c r="Q11" i="21"/>
  <c r="R11" i="21"/>
  <c r="T11" i="21" s="1"/>
  <c r="V8" i="21"/>
  <c r="W8" i="21"/>
  <c r="X8" i="21" s="1"/>
  <c r="Y8" i="21" s="1"/>
  <c r="Z8" i="21" s="1"/>
  <c r="AA8" i="21" s="1"/>
  <c r="W16" i="21"/>
  <c r="N23" i="21"/>
  <c r="M21" i="21"/>
  <c r="L13" i="21"/>
  <c r="J11" i="21"/>
  <c r="J13" i="21"/>
  <c r="K13" i="21" s="1"/>
  <c r="M13" i="21" s="1"/>
  <c r="J12" i="21"/>
  <c r="K11" i="21"/>
  <c r="M12" i="21" s="1"/>
  <c r="L11" i="20"/>
  <c r="L10" i="20"/>
  <c r="L9" i="20"/>
  <c r="L8" i="20"/>
  <c r="L7" i="20"/>
  <c r="L6" i="20"/>
  <c r="K6" i="20"/>
  <c r="K11" i="20"/>
  <c r="K10" i="20"/>
  <c r="K9" i="20"/>
  <c r="K8" i="20"/>
  <c r="K7" i="20"/>
  <c r="N16" i="20"/>
  <c r="N15" i="20"/>
  <c r="M16" i="20"/>
  <c r="M15" i="20"/>
  <c r="C15" i="20"/>
  <c r="C20" i="20" s="1"/>
  <c r="D15" i="20"/>
  <c r="L18" i="5"/>
  <c r="AD93" i="13"/>
  <c r="AC93" i="13"/>
  <c r="AB93" i="13"/>
  <c r="AA93" i="13"/>
  <c r="Z93" i="13"/>
  <c r="Y93" i="13"/>
  <c r="X93" i="13"/>
  <c r="W93" i="13"/>
  <c r="V93" i="13"/>
  <c r="U93" i="13"/>
  <c r="T93" i="13"/>
  <c r="S93" i="13"/>
  <c r="R93" i="13"/>
  <c r="Q87" i="13"/>
  <c r="Q88" i="13"/>
  <c r="Q89" i="13"/>
  <c r="Q90" i="13"/>
  <c r="Q93" i="13" s="1"/>
  <c r="Q91" i="13"/>
  <c r="P93" i="13"/>
  <c r="O93" i="13"/>
  <c r="N93" i="13"/>
  <c r="M93" i="13"/>
  <c r="L93" i="13"/>
  <c r="K93" i="13"/>
  <c r="J93" i="13"/>
  <c r="I93" i="13"/>
  <c r="H93" i="13"/>
  <c r="G93" i="13"/>
  <c r="F93" i="13"/>
  <c r="E93" i="13"/>
  <c r="D93" i="13"/>
  <c r="K12" i="6"/>
  <c r="L19" i="5"/>
  <c r="L17" i="5"/>
  <c r="L16" i="5"/>
  <c r="L15" i="5"/>
  <c r="L14" i="5"/>
  <c r="H33" i="5"/>
  <c r="H37" i="5"/>
  <c r="H35" i="5"/>
  <c r="H36" i="5"/>
  <c r="H38" i="5"/>
  <c r="H34" i="5"/>
  <c r="H29" i="5"/>
  <c r="H9" i="5"/>
  <c r="H8" i="5"/>
  <c r="H7" i="5"/>
  <c r="H17" i="5"/>
  <c r="H16" i="5"/>
  <c r="H19" i="5"/>
  <c r="H25" i="5"/>
  <c r="H24" i="5"/>
  <c r="H5" i="5"/>
  <c r="H15" i="5"/>
  <c r="H14" i="5"/>
  <c r="AD38" i="16"/>
  <c r="AD35" i="16"/>
  <c r="AD33" i="16"/>
  <c r="AD6" i="16"/>
  <c r="AD7" i="16"/>
  <c r="AD13" i="16" s="1"/>
  <c r="AD11" i="16"/>
  <c r="AC6" i="16"/>
  <c r="AC13" i="16" s="1"/>
  <c r="AC14" i="16" s="1"/>
  <c r="AC7" i="16"/>
  <c r="AC11" i="16"/>
  <c r="AC12" i="16"/>
  <c r="AI32" i="16"/>
  <c r="AJ38" i="16"/>
  <c r="AJ37" i="16"/>
  <c r="AJ35" i="16"/>
  <c r="AJ33" i="16"/>
  <c r="AP26" i="16"/>
  <c r="AP6" i="16"/>
  <c r="AP38" i="16"/>
  <c r="AP35" i="16"/>
  <c r="AP33" i="16"/>
  <c r="AP28" i="16"/>
  <c r="AP27" i="16"/>
  <c r="AO38" i="16"/>
  <c r="AO35" i="16"/>
  <c r="AO33" i="16"/>
  <c r="AO28" i="16"/>
  <c r="AO27" i="16"/>
  <c r="AO26" i="16"/>
  <c r="AQ6" i="16"/>
  <c r="AQ7" i="16"/>
  <c r="AQ13" i="16" s="1"/>
  <c r="AQ11" i="16"/>
  <c r="AP7" i="16"/>
  <c r="AP11" i="16"/>
  <c r="AP13" i="16" s="1"/>
  <c r="AP14" i="16" s="1"/>
  <c r="AP12" i="16"/>
  <c r="AO6" i="16"/>
  <c r="AO13" i="16" s="1"/>
  <c r="AO7" i="16"/>
  <c r="AO11" i="16"/>
  <c r="AO12" i="16" s="1"/>
  <c r="AI38" i="16"/>
  <c r="AI37" i="16"/>
  <c r="AI35" i="16"/>
  <c r="AI6" i="16"/>
  <c r="AI33" i="16"/>
  <c r="K38" i="16"/>
  <c r="K35" i="16"/>
  <c r="K28" i="16"/>
  <c r="K27" i="16"/>
  <c r="K26" i="16"/>
  <c r="K23" i="16"/>
  <c r="K33" i="16"/>
  <c r="H21" i="16"/>
  <c r="K21" i="16" s="1"/>
  <c r="I21" i="16"/>
  <c r="O38" i="16"/>
  <c r="O37" i="16"/>
  <c r="O35" i="16"/>
  <c r="O33" i="16"/>
  <c r="O32" i="16"/>
  <c r="S38" i="16"/>
  <c r="S37" i="16"/>
  <c r="S36" i="16"/>
  <c r="S35" i="16"/>
  <c r="S34" i="16"/>
  <c r="S33" i="16"/>
  <c r="S28" i="16"/>
  <c r="S27" i="16"/>
  <c r="S26" i="16"/>
  <c r="S11" i="16"/>
  <c r="S10" i="16"/>
  <c r="S9" i="16"/>
  <c r="S8" i="16"/>
  <c r="S7" i="16"/>
  <c r="S6" i="16"/>
  <c r="O11" i="16"/>
  <c r="O10" i="16"/>
  <c r="O9" i="16"/>
  <c r="O8" i="16"/>
  <c r="O7" i="16"/>
  <c r="O6" i="16"/>
  <c r="K7" i="16"/>
  <c r="K11" i="16"/>
  <c r="K6" i="16"/>
  <c r="B21" i="16"/>
  <c r="T21" i="16" s="1"/>
  <c r="B22" i="16"/>
  <c r="T22" i="16" s="1"/>
  <c r="B20" i="16"/>
  <c r="T20" i="16" s="1"/>
  <c r="AC35" i="16"/>
  <c r="AC38" i="16"/>
  <c r="AC33" i="16"/>
  <c r="AF6" i="16"/>
  <c r="AF7" i="16"/>
  <c r="AF13" i="16" s="1"/>
  <c r="AF14" i="16" s="1"/>
  <c r="AF8" i="16"/>
  <c r="AF9" i="16"/>
  <c r="AF10" i="16"/>
  <c r="AF11" i="16"/>
  <c r="AF12" i="16"/>
  <c r="H15" i="20"/>
  <c r="H20" i="20" s="1"/>
  <c r="G15" i="20"/>
  <c r="G20" i="20" s="1"/>
  <c r="F15" i="20"/>
  <c r="F20" i="20" s="1"/>
  <c r="E15" i="20"/>
  <c r="E20" i="20" s="1"/>
  <c r="D20" i="20"/>
  <c r="W6" i="16"/>
  <c r="W12" i="16" s="1"/>
  <c r="W7" i="16"/>
  <c r="W13" i="16" s="1"/>
  <c r="W14" i="16" s="1"/>
  <c r="W8" i="16"/>
  <c r="W9" i="16"/>
  <c r="W10" i="16"/>
  <c r="W11" i="16"/>
  <c r="Y6" i="16"/>
  <c r="Y12" i="16" s="1"/>
  <c r="Y7" i="16"/>
  <c r="Y8" i="16"/>
  <c r="Y9" i="16"/>
  <c r="Y10" i="16"/>
  <c r="Y11" i="16"/>
  <c r="T6" i="16"/>
  <c r="T13" i="16" s="1"/>
  <c r="T7" i="16"/>
  <c r="T12" i="16" s="1"/>
  <c r="T8" i="16"/>
  <c r="T9" i="16"/>
  <c r="T10" i="16"/>
  <c r="T11" i="16"/>
  <c r="H16" i="20"/>
  <c r="G16" i="20"/>
  <c r="F16" i="20"/>
  <c r="E16" i="20"/>
  <c r="D16" i="20"/>
  <c r="C16" i="20"/>
  <c r="H14" i="20"/>
  <c r="G14" i="20"/>
  <c r="F14" i="20"/>
  <c r="E14" i="20"/>
  <c r="D14" i="20"/>
  <c r="C14" i="20"/>
  <c r="H13" i="20"/>
  <c r="G13" i="20"/>
  <c r="F13" i="20"/>
  <c r="E13" i="20"/>
  <c r="D13" i="20"/>
  <c r="C13" i="20"/>
  <c r="K24" i="6"/>
  <c r="L24" i="6"/>
  <c r="L12" i="6"/>
  <c r="K6" i="6"/>
  <c r="L6" i="6" s="1"/>
  <c r="L11" i="14"/>
  <c r="M11" i="14" s="1"/>
  <c r="L10" i="14"/>
  <c r="M10" i="14" s="1"/>
  <c r="L9" i="14"/>
  <c r="M9" i="14" s="1"/>
  <c r="L8" i="14"/>
  <c r="M8" i="14" s="1"/>
  <c r="L7" i="14"/>
  <c r="M7" i="14" s="1"/>
  <c r="L6" i="14"/>
  <c r="M6" i="14" s="1"/>
  <c r="K20" i="6"/>
  <c r="L20" i="6" s="1"/>
  <c r="K18" i="6"/>
  <c r="L18" i="6" s="1"/>
  <c r="K30" i="6"/>
  <c r="L30" i="6" s="1"/>
  <c r="K36" i="6"/>
  <c r="L36" i="6" s="1"/>
  <c r="K8" i="6"/>
  <c r="L8" i="6" s="1"/>
  <c r="K32" i="6"/>
  <c r="L32" i="6"/>
  <c r="C22" i="16"/>
  <c r="C21" i="16"/>
  <c r="C20" i="16"/>
  <c r="AN6" i="16"/>
  <c r="AN13" i="16" s="1"/>
  <c r="AN14" i="16" s="1"/>
  <c r="AN7" i="16"/>
  <c r="AN11" i="16"/>
  <c r="AN12" i="16"/>
  <c r="AM6" i="16"/>
  <c r="AM13" i="16" s="1"/>
  <c r="AM7" i="16"/>
  <c r="AM11" i="16"/>
  <c r="AM12" i="16" s="1"/>
  <c r="AL6" i="16"/>
  <c r="AL13" i="16" s="1"/>
  <c r="AL14" i="16" s="1"/>
  <c r="AL7" i="16"/>
  <c r="AL11" i="16"/>
  <c r="AL12" i="16"/>
  <c r="AK6" i="16"/>
  <c r="AK12" i="16" s="1"/>
  <c r="AK7" i="16"/>
  <c r="AK8" i="16"/>
  <c r="AK9" i="16"/>
  <c r="AK10" i="16"/>
  <c r="AK11" i="16"/>
  <c r="AK13" i="16"/>
  <c r="AJ6" i="16"/>
  <c r="AJ13" i="16" s="1"/>
  <c r="AJ14" i="16" s="1"/>
  <c r="AJ7" i="16"/>
  <c r="AJ12" i="16" s="1"/>
  <c r="AJ8" i="16"/>
  <c r="AJ9" i="16"/>
  <c r="AJ10" i="16"/>
  <c r="AJ11" i="16"/>
  <c r="AI7" i="16"/>
  <c r="AI13" i="16" s="1"/>
  <c r="AI8" i="16"/>
  <c r="AI9" i="16"/>
  <c r="AI10" i="16"/>
  <c r="AI11" i="16"/>
  <c r="AH6" i="16"/>
  <c r="AH13" i="16" s="1"/>
  <c r="AH7" i="16"/>
  <c r="AH8" i="16"/>
  <c r="AH9" i="16"/>
  <c r="AH10" i="16"/>
  <c r="AH11" i="16"/>
  <c r="AB6" i="16"/>
  <c r="AB13" i="16" s="1"/>
  <c r="AB7" i="16"/>
  <c r="AB8" i="16"/>
  <c r="AB9" i="16"/>
  <c r="AB10" i="16"/>
  <c r="AB11" i="16"/>
  <c r="Z6" i="16"/>
  <c r="Z7" i="16"/>
  <c r="Z13" i="16" s="1"/>
  <c r="Z14" i="16" s="1"/>
  <c r="Z8" i="16"/>
  <c r="Z9" i="16"/>
  <c r="Z10" i="16"/>
  <c r="Z11" i="16"/>
  <c r="Z12" i="16"/>
  <c r="Y13" i="16"/>
  <c r="V6" i="16"/>
  <c r="V13" i="16" s="1"/>
  <c r="V7" i="16"/>
  <c r="V8" i="16"/>
  <c r="V9" i="16"/>
  <c r="V10" i="16"/>
  <c r="V11" i="16"/>
  <c r="O11" i="15"/>
  <c r="N11" i="15"/>
  <c r="M11" i="15"/>
  <c r="L11" i="15"/>
  <c r="K11" i="15"/>
  <c r="J11" i="15"/>
  <c r="I11" i="15"/>
  <c r="H11" i="15"/>
  <c r="G11" i="15"/>
  <c r="F11" i="15"/>
  <c r="E11" i="15"/>
  <c r="D11" i="15"/>
  <c r="C11" i="15"/>
  <c r="F85" i="13"/>
  <c r="AD85" i="13"/>
  <c r="AC85" i="13"/>
  <c r="AB85" i="13"/>
  <c r="AA85" i="13"/>
  <c r="Z85" i="13"/>
  <c r="Y85" i="13"/>
  <c r="X85" i="13"/>
  <c r="W85" i="13"/>
  <c r="V85" i="13"/>
  <c r="U85" i="13"/>
  <c r="T85" i="13"/>
  <c r="S85" i="13"/>
  <c r="R85" i="13"/>
  <c r="Q73" i="13"/>
  <c r="Q74" i="13"/>
  <c r="Q85" i="13" s="1"/>
  <c r="Q75" i="13"/>
  <c r="Q76" i="13"/>
  <c r="Q77" i="13"/>
  <c r="Q79" i="13"/>
  <c r="Q80" i="13"/>
  <c r="Q81" i="13"/>
  <c r="Q82" i="13"/>
  <c r="Q83" i="13"/>
  <c r="P85" i="13"/>
  <c r="O85" i="13"/>
  <c r="N85" i="13"/>
  <c r="M85" i="13"/>
  <c r="L85" i="13"/>
  <c r="K85" i="13"/>
  <c r="J85" i="13"/>
  <c r="I85" i="13"/>
  <c r="H85" i="13"/>
  <c r="G85" i="13"/>
  <c r="E85" i="13"/>
  <c r="D85" i="13"/>
  <c r="F71" i="13"/>
  <c r="AD71" i="13"/>
  <c r="AC71" i="13"/>
  <c r="AB71" i="13"/>
  <c r="AA71" i="13"/>
  <c r="Z71" i="13"/>
  <c r="Y71" i="13"/>
  <c r="X71" i="13"/>
  <c r="W71" i="13"/>
  <c r="V71" i="13"/>
  <c r="U71" i="13"/>
  <c r="T71" i="13"/>
  <c r="S71" i="13"/>
  <c r="R71" i="13"/>
  <c r="Q60" i="13"/>
  <c r="Q61" i="13"/>
  <c r="Q62" i="13"/>
  <c r="Q71" i="13" s="1"/>
  <c r="Q63" i="13"/>
  <c r="Q64" i="13"/>
  <c r="Q65" i="13"/>
  <c r="Q66" i="13"/>
  <c r="Q67" i="13"/>
  <c r="Q68" i="13"/>
  <c r="Q69" i="13"/>
  <c r="Q49" i="13"/>
  <c r="Q50" i="13"/>
  <c r="Q51" i="13"/>
  <c r="Q52" i="13"/>
  <c r="Q53" i="13"/>
  <c r="Q54" i="13"/>
  <c r="Q55" i="13"/>
  <c r="Q56" i="13"/>
  <c r="Q57" i="13"/>
  <c r="Q58" i="13"/>
  <c r="P71" i="13"/>
  <c r="O71" i="13"/>
  <c r="N71" i="13"/>
  <c r="M71" i="13"/>
  <c r="L71" i="13"/>
  <c r="K71" i="13"/>
  <c r="J71" i="13"/>
  <c r="I71" i="13"/>
  <c r="H71" i="13"/>
  <c r="G71" i="13"/>
  <c r="E71" i="13"/>
  <c r="D71" i="13"/>
  <c r="F47" i="13"/>
  <c r="AD47" i="13"/>
  <c r="AC47" i="13"/>
  <c r="AB47" i="13"/>
  <c r="AA47" i="13"/>
  <c r="Z47" i="13"/>
  <c r="Y47" i="13"/>
  <c r="X47" i="13"/>
  <c r="W47" i="13"/>
  <c r="V47" i="13"/>
  <c r="U47" i="13"/>
  <c r="T47" i="13"/>
  <c r="S47" i="13"/>
  <c r="R47" i="13"/>
  <c r="Q31" i="13"/>
  <c r="Q32" i="13"/>
  <c r="Q33" i="13"/>
  <c r="Q34" i="13"/>
  <c r="Q35" i="13"/>
  <c r="Q36" i="13"/>
  <c r="Q37" i="13"/>
  <c r="Q38" i="13"/>
  <c r="Q39" i="13"/>
  <c r="Q40" i="13"/>
  <c r="Q41" i="13"/>
  <c r="Q42" i="13"/>
  <c r="Q43" i="13"/>
  <c r="Q44" i="13"/>
  <c r="Q45" i="13"/>
  <c r="Q47" i="13"/>
  <c r="P47" i="13"/>
  <c r="O47" i="13"/>
  <c r="N47" i="13"/>
  <c r="M47" i="13"/>
  <c r="L47" i="13"/>
  <c r="K47" i="13"/>
  <c r="J47" i="13"/>
  <c r="I47" i="13"/>
  <c r="H47" i="13"/>
  <c r="G47" i="13"/>
  <c r="E47" i="13"/>
  <c r="D47" i="13"/>
  <c r="F29" i="13"/>
  <c r="E29" i="13"/>
  <c r="AD29" i="13"/>
  <c r="AC29" i="13"/>
  <c r="AB29" i="13"/>
  <c r="AA29" i="13"/>
  <c r="Z29" i="13"/>
  <c r="Y29" i="13"/>
  <c r="X29" i="13"/>
  <c r="W29" i="13"/>
  <c r="V29" i="13"/>
  <c r="U29" i="13"/>
  <c r="T29" i="13"/>
  <c r="S29" i="13"/>
  <c r="R29" i="13"/>
  <c r="Q18" i="13"/>
  <c r="Q29" i="13" s="1"/>
  <c r="Q19" i="13"/>
  <c r="Q20" i="13"/>
  <c r="Q21" i="13"/>
  <c r="Q22" i="13"/>
  <c r="Q23" i="13"/>
  <c r="Q24" i="13"/>
  <c r="Q25" i="13"/>
  <c r="Q26" i="13"/>
  <c r="Q27" i="13"/>
  <c r="P29" i="13"/>
  <c r="O29" i="13"/>
  <c r="N29" i="13"/>
  <c r="M29" i="13"/>
  <c r="L29" i="13"/>
  <c r="K29" i="13"/>
  <c r="J29" i="13"/>
  <c r="I29" i="13"/>
  <c r="H29" i="13"/>
  <c r="G29" i="13"/>
  <c r="D29" i="13"/>
  <c r="F16" i="13"/>
  <c r="E16" i="13"/>
  <c r="AD16" i="13"/>
  <c r="AC16" i="13"/>
  <c r="AB16" i="13"/>
  <c r="AA16" i="13"/>
  <c r="Z16" i="13"/>
  <c r="Y16" i="13"/>
  <c r="X16" i="13"/>
  <c r="W16" i="13"/>
  <c r="V16" i="13"/>
  <c r="U16" i="13"/>
  <c r="T16" i="13"/>
  <c r="S16" i="13"/>
  <c r="R16" i="13"/>
  <c r="Q5" i="13"/>
  <c r="Q6" i="13"/>
  <c r="Q16" i="13" s="1"/>
  <c r="Q7" i="13"/>
  <c r="Q8" i="13"/>
  <c r="Q9" i="13"/>
  <c r="Q10" i="13"/>
  <c r="Q11" i="13"/>
  <c r="Q12" i="13"/>
  <c r="Q13" i="13"/>
  <c r="Q14" i="13"/>
  <c r="P16" i="13"/>
  <c r="O16" i="13"/>
  <c r="N16" i="13"/>
  <c r="M16" i="13"/>
  <c r="L16" i="13"/>
  <c r="K16" i="13"/>
  <c r="J16" i="13"/>
  <c r="I16" i="13"/>
  <c r="H16" i="13"/>
  <c r="G16" i="13"/>
  <c r="D16" i="13"/>
  <c r="P43" i="12"/>
  <c r="O43" i="12"/>
  <c r="N43" i="12"/>
  <c r="M43" i="12"/>
  <c r="L43" i="12"/>
  <c r="K43" i="12"/>
  <c r="J43" i="12"/>
  <c r="I43" i="12"/>
  <c r="H43" i="12"/>
  <c r="G43" i="12"/>
  <c r="F43" i="12"/>
  <c r="E43" i="12"/>
  <c r="D43" i="12"/>
  <c r="R28" i="12"/>
  <c r="R26" i="12"/>
  <c r="P24" i="12"/>
  <c r="O24" i="12"/>
  <c r="N24" i="12"/>
  <c r="M24" i="12"/>
  <c r="L24" i="12"/>
  <c r="K24" i="12"/>
  <c r="J24" i="12"/>
  <c r="I24" i="12"/>
  <c r="H24" i="12"/>
  <c r="G24" i="12"/>
  <c r="F24" i="12"/>
  <c r="E24" i="12"/>
  <c r="D24" i="12"/>
  <c r="S22" i="12"/>
  <c r="Q22" i="12"/>
  <c r="Q21" i="12"/>
  <c r="S20" i="12"/>
  <c r="Q20" i="12"/>
  <c r="S19" i="12"/>
  <c r="Q19" i="12"/>
  <c r="S18" i="12"/>
  <c r="Q18" i="12"/>
  <c r="S17" i="12"/>
  <c r="R17" i="12"/>
  <c r="Q17" i="12"/>
  <c r="Q16" i="12"/>
  <c r="Q15" i="12"/>
  <c r="R14" i="12"/>
  <c r="Q14" i="12"/>
  <c r="S13" i="12"/>
  <c r="Q13" i="12"/>
  <c r="Q5" i="12"/>
  <c r="Q6" i="12"/>
  <c r="Q7" i="12"/>
  <c r="Q8" i="12"/>
  <c r="Q11" i="12" s="1"/>
  <c r="Q9" i="12"/>
  <c r="P11" i="12"/>
  <c r="O11" i="12"/>
  <c r="N11" i="12"/>
  <c r="M11" i="12"/>
  <c r="L11" i="12"/>
  <c r="K11" i="12"/>
  <c r="J11" i="12"/>
  <c r="I11" i="12"/>
  <c r="H11" i="12"/>
  <c r="G11" i="12"/>
  <c r="F11" i="12"/>
  <c r="E11" i="12"/>
  <c r="D11" i="12"/>
  <c r="S9" i="12"/>
  <c r="S8" i="12"/>
  <c r="AD92" i="11"/>
  <c r="AD93" i="11"/>
  <c r="AD94" i="11"/>
  <c r="AD95" i="11"/>
  <c r="AD96" i="11"/>
  <c r="AD98" i="11"/>
  <c r="AD99" i="11"/>
  <c r="AD100" i="11"/>
  <c r="AD101" i="11"/>
  <c r="AD102" i="11"/>
  <c r="AD104" i="11"/>
  <c r="AC92" i="11"/>
  <c r="AC93" i="11"/>
  <c r="AC104" i="11" s="1"/>
  <c r="AC94" i="11"/>
  <c r="AC95" i="11"/>
  <c r="AC96" i="11"/>
  <c r="AC98" i="11"/>
  <c r="AC99" i="11"/>
  <c r="AC100" i="11"/>
  <c r="AC101" i="11"/>
  <c r="AC102" i="11"/>
  <c r="AB92" i="11"/>
  <c r="AB104" i="11" s="1"/>
  <c r="AB93" i="11"/>
  <c r="AB94" i="11"/>
  <c r="AB95" i="11"/>
  <c r="AB96" i="11"/>
  <c r="AB98" i="11"/>
  <c r="AB99" i="11"/>
  <c r="AB100" i="11"/>
  <c r="AB101" i="11"/>
  <c r="AB102" i="11"/>
  <c r="AA92" i="11"/>
  <c r="AA93" i="11"/>
  <c r="AA104" i="11" s="1"/>
  <c r="AA94" i="11"/>
  <c r="AA95" i="11"/>
  <c r="AA96" i="11"/>
  <c r="AA98" i="11"/>
  <c r="AA99" i="11"/>
  <c r="AA100" i="11"/>
  <c r="AA101" i="11"/>
  <c r="AA102" i="11"/>
  <c r="Z104" i="11"/>
  <c r="Y104" i="11"/>
  <c r="W104" i="11"/>
  <c r="V104" i="11"/>
  <c r="U104" i="11"/>
  <c r="T104" i="11"/>
  <c r="S104" i="11"/>
  <c r="R104" i="11"/>
  <c r="Q104" i="11"/>
  <c r="P104" i="11"/>
  <c r="O104" i="11"/>
  <c r="N104" i="11"/>
  <c r="M104" i="11"/>
  <c r="L104" i="11"/>
  <c r="K104" i="11"/>
  <c r="J104" i="11"/>
  <c r="I104" i="11"/>
  <c r="H104" i="11"/>
  <c r="G104" i="11"/>
  <c r="F104" i="11"/>
  <c r="E104" i="11"/>
  <c r="D104" i="11"/>
  <c r="AD73" i="11"/>
  <c r="AD90" i="11" s="1"/>
  <c r="AD74" i="11"/>
  <c r="AD75" i="11"/>
  <c r="AD76" i="11"/>
  <c r="AD77" i="11"/>
  <c r="AD78" i="11"/>
  <c r="AD79" i="11"/>
  <c r="AD80" i="11"/>
  <c r="AD81" i="11"/>
  <c r="AD82" i="11"/>
  <c r="AD84" i="11"/>
  <c r="AD85" i="11"/>
  <c r="AD86" i="11"/>
  <c r="AD87" i="11"/>
  <c r="AD88" i="11"/>
  <c r="AC73" i="11"/>
  <c r="AC90" i="11" s="1"/>
  <c r="AC74" i="11"/>
  <c r="AC75" i="11"/>
  <c r="AC76" i="11"/>
  <c r="AC77" i="11"/>
  <c r="AC78" i="11"/>
  <c r="AC79" i="11"/>
  <c r="AC80" i="11"/>
  <c r="AC81" i="11"/>
  <c r="AC82" i="11"/>
  <c r="AC84" i="11"/>
  <c r="AC85" i="11"/>
  <c r="AC86" i="11"/>
  <c r="AC87" i="11"/>
  <c r="AC88" i="11"/>
  <c r="AB73" i="11"/>
  <c r="AB90" i="11" s="1"/>
  <c r="AB74" i="11"/>
  <c r="AB75" i="11"/>
  <c r="AB76" i="11"/>
  <c r="AB77" i="11"/>
  <c r="AB78" i="11"/>
  <c r="AB79" i="11"/>
  <c r="AB80" i="11"/>
  <c r="AB81" i="11"/>
  <c r="AB82" i="11"/>
  <c r="AB84" i="11"/>
  <c r="AB85" i="11"/>
  <c r="AB86" i="11"/>
  <c r="AB87" i="11"/>
  <c r="AB88" i="11"/>
  <c r="AA73" i="11"/>
  <c r="AA90" i="11" s="1"/>
  <c r="AA74" i="11"/>
  <c r="AA75" i="11"/>
  <c r="AA76" i="11"/>
  <c r="AA77" i="11"/>
  <c r="AA78" i="11"/>
  <c r="AA79" i="11"/>
  <c r="AA80" i="11"/>
  <c r="AA81" i="11"/>
  <c r="AA82" i="11"/>
  <c r="AA84" i="11"/>
  <c r="AA85" i="11"/>
  <c r="AA86" i="11"/>
  <c r="AA87" i="11"/>
  <c r="AA88" i="11"/>
  <c r="Z90" i="11"/>
  <c r="Y90" i="11"/>
  <c r="W90" i="11"/>
  <c r="V90" i="11"/>
  <c r="U90" i="11"/>
  <c r="T90" i="11"/>
  <c r="S90" i="11"/>
  <c r="R90" i="11"/>
  <c r="Q90" i="11"/>
  <c r="P90" i="11"/>
  <c r="O90" i="11"/>
  <c r="N90" i="11"/>
  <c r="M90" i="11"/>
  <c r="L90" i="11"/>
  <c r="K90" i="11"/>
  <c r="J90" i="11"/>
  <c r="I90" i="11"/>
  <c r="H90" i="11"/>
  <c r="G90" i="11"/>
  <c r="F90" i="11"/>
  <c r="E90" i="11"/>
  <c r="D90" i="11"/>
  <c r="AD50" i="11"/>
  <c r="AD51" i="11"/>
  <c r="AD52" i="11"/>
  <c r="AD71" i="11" s="1"/>
  <c r="AD53" i="11"/>
  <c r="AD54" i="11"/>
  <c r="AD55" i="11"/>
  <c r="AD56" i="11"/>
  <c r="AD57" i="11"/>
  <c r="AD58" i="11"/>
  <c r="AD59" i="11"/>
  <c r="AD60" i="11"/>
  <c r="AD61" i="11"/>
  <c r="AD62" i="11"/>
  <c r="AD63" i="11"/>
  <c r="AD64" i="11"/>
  <c r="AD66" i="11"/>
  <c r="AD67" i="11"/>
  <c r="AD68" i="11"/>
  <c r="AD69" i="11"/>
  <c r="AC50" i="11"/>
  <c r="AC51" i="11"/>
  <c r="AC52" i="11"/>
  <c r="AC71" i="11" s="1"/>
  <c r="AC53" i="11"/>
  <c r="AC54" i="11"/>
  <c r="AC55" i="11"/>
  <c r="AC56" i="11"/>
  <c r="AC57" i="11"/>
  <c r="AC58" i="11"/>
  <c r="AC59" i="11"/>
  <c r="AC60" i="11"/>
  <c r="AC61" i="11"/>
  <c r="AC62" i="11"/>
  <c r="AC63" i="11"/>
  <c r="AC64" i="11"/>
  <c r="AC66" i="11"/>
  <c r="AC67" i="11"/>
  <c r="AC68" i="11"/>
  <c r="AC69" i="11"/>
  <c r="AB50" i="11"/>
  <c r="AB51" i="11"/>
  <c r="AB52" i="11"/>
  <c r="AB71" i="11" s="1"/>
  <c r="AB53" i="11"/>
  <c r="AB54" i="11"/>
  <c r="AB55" i="11"/>
  <c r="AB56" i="11"/>
  <c r="AB57" i="11"/>
  <c r="AB58" i="11"/>
  <c r="AB59" i="11"/>
  <c r="AB60" i="11"/>
  <c r="AB61" i="11"/>
  <c r="AB62" i="11"/>
  <c r="AB63" i="11"/>
  <c r="AB64" i="11"/>
  <c r="AB66" i="11"/>
  <c r="AB67" i="11"/>
  <c r="AB68" i="11"/>
  <c r="AB69" i="11"/>
  <c r="AA50" i="11"/>
  <c r="AA51" i="11"/>
  <c r="AA52" i="11"/>
  <c r="AA71" i="11" s="1"/>
  <c r="AA53" i="11"/>
  <c r="AA54" i="11"/>
  <c r="AA55" i="11"/>
  <c r="AA56" i="11"/>
  <c r="AA57" i="11"/>
  <c r="AA58" i="11"/>
  <c r="AA59" i="11"/>
  <c r="AA60" i="11"/>
  <c r="AA61" i="11"/>
  <c r="AA62" i="11"/>
  <c r="AA63" i="11"/>
  <c r="AA64" i="11"/>
  <c r="AA66" i="11"/>
  <c r="AA67" i="11"/>
  <c r="AA68" i="11"/>
  <c r="AA69" i="11"/>
  <c r="Z71" i="11"/>
  <c r="Y71" i="11"/>
  <c r="W71" i="11"/>
  <c r="V71" i="11"/>
  <c r="U71" i="11"/>
  <c r="T71" i="11"/>
  <c r="S71" i="11"/>
  <c r="R71" i="11"/>
  <c r="Q71" i="11"/>
  <c r="P71" i="11"/>
  <c r="O71" i="11"/>
  <c r="N71" i="11"/>
  <c r="M71" i="11"/>
  <c r="L71" i="11"/>
  <c r="K71" i="11"/>
  <c r="J71" i="11"/>
  <c r="I71" i="11"/>
  <c r="H71" i="11"/>
  <c r="G71" i="11"/>
  <c r="F71" i="11"/>
  <c r="E71" i="11"/>
  <c r="D71" i="11"/>
  <c r="AD37" i="11"/>
  <c r="AD38" i="11"/>
  <c r="AD39" i="11"/>
  <c r="AD40" i="11"/>
  <c r="AD41" i="11"/>
  <c r="AD42" i="11"/>
  <c r="AD43" i="11"/>
  <c r="AD44" i="11"/>
  <c r="AD45" i="11"/>
  <c r="AD48" i="11" s="1"/>
  <c r="AD46" i="11"/>
  <c r="AC37" i="11"/>
  <c r="AC38" i="11"/>
  <c r="AC39" i="11"/>
  <c r="AC40" i="11"/>
  <c r="AC41" i="11"/>
  <c r="AC42" i="11"/>
  <c r="AC48" i="11" s="1"/>
  <c r="AC43" i="11"/>
  <c r="AC44" i="11"/>
  <c r="AC45" i="11"/>
  <c r="AC46" i="11"/>
  <c r="AB37" i="11"/>
  <c r="AB38" i="11"/>
  <c r="AB39" i="11"/>
  <c r="AB40" i="11"/>
  <c r="AB41" i="11"/>
  <c r="AB42" i="11"/>
  <c r="AB43" i="11"/>
  <c r="AB44" i="11"/>
  <c r="AB45" i="11"/>
  <c r="AB46" i="11"/>
  <c r="AB48" i="11"/>
  <c r="AA37" i="11"/>
  <c r="AA38" i="11"/>
  <c r="AA39" i="11"/>
  <c r="AA40" i="11"/>
  <c r="AA48" i="11" s="1"/>
  <c r="AA41" i="11"/>
  <c r="AA42" i="11"/>
  <c r="AA43" i="11"/>
  <c r="AA44" i="11"/>
  <c r="AA45" i="11"/>
  <c r="AA46" i="11"/>
  <c r="Z48" i="11"/>
  <c r="Y48" i="11"/>
  <c r="W48" i="11"/>
  <c r="V48" i="11"/>
  <c r="U48" i="11"/>
  <c r="T48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AD24" i="11"/>
  <c r="AD25" i="11"/>
  <c r="AD26" i="11"/>
  <c r="AD27" i="11"/>
  <c r="AD28" i="11"/>
  <c r="AD29" i="11"/>
  <c r="AD30" i="11"/>
  <c r="AD31" i="11"/>
  <c r="AD32" i="11"/>
  <c r="AD33" i="11"/>
  <c r="AD35" i="11"/>
  <c r="AC24" i="11"/>
  <c r="AC25" i="11"/>
  <c r="AC26" i="11"/>
  <c r="AC27" i="11"/>
  <c r="AC28" i="11"/>
  <c r="AC29" i="11"/>
  <c r="AC30" i="11"/>
  <c r="AC31" i="11"/>
  <c r="AC32" i="11"/>
  <c r="AC33" i="11"/>
  <c r="AC35" i="11"/>
  <c r="AB24" i="11"/>
  <c r="AB25" i="11"/>
  <c r="AB26" i="11"/>
  <c r="AB27" i="11"/>
  <c r="AB28" i="11"/>
  <c r="AB29" i="11"/>
  <c r="AB30" i="11"/>
  <c r="AB31" i="11"/>
  <c r="AB32" i="11"/>
  <c r="AB33" i="11"/>
  <c r="AB35" i="11"/>
  <c r="AA24" i="11"/>
  <c r="AA25" i="11"/>
  <c r="AA26" i="11"/>
  <c r="AA27" i="11"/>
  <c r="AA28" i="11"/>
  <c r="AA29" i="11"/>
  <c r="AA30" i="11"/>
  <c r="AA31" i="11"/>
  <c r="AA32" i="11"/>
  <c r="AA33" i="11"/>
  <c r="AA35" i="11"/>
  <c r="Z35" i="11"/>
  <c r="Y35" i="11"/>
  <c r="W35" i="11"/>
  <c r="V35" i="11"/>
  <c r="U35" i="11"/>
  <c r="T35" i="11"/>
  <c r="S35" i="11"/>
  <c r="R35" i="11"/>
  <c r="Q35" i="11"/>
  <c r="P35" i="11"/>
  <c r="O35" i="11"/>
  <c r="N35" i="11"/>
  <c r="M35" i="11"/>
  <c r="L35" i="11"/>
  <c r="K35" i="11"/>
  <c r="J35" i="11"/>
  <c r="I35" i="11"/>
  <c r="H35" i="11"/>
  <c r="G35" i="11"/>
  <c r="F35" i="11"/>
  <c r="E35" i="11"/>
  <c r="D35" i="11"/>
  <c r="AD5" i="11"/>
  <c r="AD6" i="11"/>
  <c r="AD7" i="11"/>
  <c r="AD8" i="11"/>
  <c r="AD9" i="11"/>
  <c r="AD10" i="11"/>
  <c r="AD11" i="11"/>
  <c r="AD12" i="11"/>
  <c r="AD13" i="11"/>
  <c r="AD14" i="11"/>
  <c r="AD16" i="11"/>
  <c r="AD17" i="11"/>
  <c r="AD18" i="11"/>
  <c r="AD19" i="11"/>
  <c r="AD20" i="11"/>
  <c r="AD22" i="11"/>
  <c r="AC5" i="11"/>
  <c r="AC6" i="11"/>
  <c r="AC7" i="11"/>
  <c r="AC8" i="11"/>
  <c r="AC9" i="11"/>
  <c r="AC10" i="11"/>
  <c r="AC11" i="11"/>
  <c r="AC12" i="11"/>
  <c r="AC13" i="11"/>
  <c r="AC14" i="11"/>
  <c r="AC16" i="11"/>
  <c r="AC17" i="11"/>
  <c r="AC18" i="11"/>
  <c r="AC19" i="11"/>
  <c r="AC20" i="11"/>
  <c r="AC22" i="11"/>
  <c r="AB5" i="11"/>
  <c r="AB6" i="11"/>
  <c r="AB7" i="11"/>
  <c r="AB8" i="11"/>
  <c r="AB9" i="11"/>
  <c r="AB10" i="11"/>
  <c r="AB11" i="11"/>
  <c r="AB12" i="11"/>
  <c r="AB13" i="11"/>
  <c r="AB14" i="11"/>
  <c r="AB16" i="11"/>
  <c r="AB17" i="11"/>
  <c r="AB18" i="11"/>
  <c r="AB19" i="11"/>
  <c r="AB20" i="11"/>
  <c r="AB22" i="11"/>
  <c r="AA5" i="11"/>
  <c r="AA6" i="11"/>
  <c r="AA7" i="11"/>
  <c r="AA8" i="11"/>
  <c r="AA9" i="11"/>
  <c r="AA10" i="11"/>
  <c r="AA11" i="11"/>
  <c r="AA12" i="11"/>
  <c r="AA13" i="11"/>
  <c r="AA14" i="11"/>
  <c r="AA16" i="11"/>
  <c r="AA17" i="11"/>
  <c r="AA18" i="11"/>
  <c r="AA19" i="11"/>
  <c r="AA20" i="11"/>
  <c r="AA22" i="11"/>
  <c r="Z22" i="11"/>
  <c r="Y22" i="11"/>
  <c r="W22" i="11"/>
  <c r="V22" i="11"/>
  <c r="U22" i="11"/>
  <c r="T22" i="11"/>
  <c r="S22" i="11"/>
  <c r="R22" i="11"/>
  <c r="Q22" i="11"/>
  <c r="P22" i="11"/>
  <c r="O22" i="11"/>
  <c r="N22" i="11"/>
  <c r="M22" i="11"/>
  <c r="L22" i="11"/>
  <c r="K22" i="11"/>
  <c r="J22" i="11"/>
  <c r="I22" i="11"/>
  <c r="H22" i="11"/>
  <c r="G22" i="11"/>
  <c r="F22" i="11"/>
  <c r="E22" i="11"/>
  <c r="D22" i="11"/>
  <c r="AD150" i="10"/>
  <c r="AD151" i="10"/>
  <c r="AD152" i="10"/>
  <c r="AD153" i="10"/>
  <c r="AD154" i="10"/>
  <c r="AD156" i="10"/>
  <c r="AD157" i="10"/>
  <c r="AD158" i="10"/>
  <c r="AD159" i="10"/>
  <c r="AD160" i="10"/>
  <c r="AD162" i="10"/>
  <c r="AD163" i="10"/>
  <c r="AD164" i="10"/>
  <c r="AD165" i="10"/>
  <c r="AD166" i="10"/>
  <c r="AD168" i="10"/>
  <c r="AC150" i="10"/>
  <c r="AC151" i="10"/>
  <c r="AC152" i="10"/>
  <c r="AC153" i="10"/>
  <c r="AC154" i="10"/>
  <c r="AC156" i="10"/>
  <c r="AC157" i="10"/>
  <c r="AC158" i="10"/>
  <c r="AC159" i="10"/>
  <c r="AC160" i="10"/>
  <c r="AC162" i="10"/>
  <c r="AC163" i="10"/>
  <c r="AC164" i="10"/>
  <c r="AC165" i="10"/>
  <c r="AC166" i="10"/>
  <c r="AC168" i="10"/>
  <c r="AB150" i="10"/>
  <c r="AB151" i="10"/>
  <c r="AB152" i="10"/>
  <c r="AB153" i="10"/>
  <c r="AB154" i="10"/>
  <c r="AB156" i="10"/>
  <c r="AB157" i="10"/>
  <c r="AB158" i="10"/>
  <c r="AB159" i="10"/>
  <c r="AB160" i="10"/>
  <c r="AB162" i="10"/>
  <c r="AB163" i="10"/>
  <c r="AB164" i="10"/>
  <c r="AB165" i="10"/>
  <c r="AB166" i="10"/>
  <c r="AB168" i="10"/>
  <c r="AA150" i="10"/>
  <c r="AA151" i="10"/>
  <c r="AA152" i="10"/>
  <c r="AA153" i="10"/>
  <c r="AA154" i="10"/>
  <c r="AA156" i="10"/>
  <c r="AA157" i="10"/>
  <c r="AA158" i="10"/>
  <c r="AA159" i="10"/>
  <c r="AA160" i="10"/>
  <c r="AA162" i="10"/>
  <c r="AA163" i="10"/>
  <c r="AA164" i="10"/>
  <c r="AA165" i="10"/>
  <c r="AA166" i="10"/>
  <c r="AA168" i="10"/>
  <c r="Z150" i="10"/>
  <c r="Z151" i="10"/>
  <c r="Z152" i="10"/>
  <c r="Z153" i="10"/>
  <c r="Z154" i="10"/>
  <c r="Z156" i="10"/>
  <c r="Z157" i="10"/>
  <c r="Z158" i="10"/>
  <c r="Z159" i="10"/>
  <c r="Z160" i="10"/>
  <c r="Z162" i="10"/>
  <c r="Z163" i="10"/>
  <c r="Z164" i="10"/>
  <c r="Z165" i="10"/>
  <c r="Z166" i="10"/>
  <c r="Z168" i="10"/>
  <c r="Y168" i="10"/>
  <c r="X168" i="10"/>
  <c r="W168" i="10"/>
  <c r="V168" i="10"/>
  <c r="U168" i="10"/>
  <c r="T168" i="10"/>
  <c r="S168" i="10"/>
  <c r="R168" i="10"/>
  <c r="Q168" i="10"/>
  <c r="P168" i="10"/>
  <c r="O168" i="10"/>
  <c r="N168" i="10"/>
  <c r="M168" i="10"/>
  <c r="L168" i="10"/>
  <c r="K168" i="10"/>
  <c r="J168" i="10"/>
  <c r="I168" i="10"/>
  <c r="H168" i="10"/>
  <c r="G168" i="10"/>
  <c r="F168" i="10"/>
  <c r="E168" i="10"/>
  <c r="D168" i="10"/>
  <c r="AD137" i="10"/>
  <c r="AD138" i="10"/>
  <c r="AD139" i="10"/>
  <c r="AD140" i="10"/>
  <c r="AD141" i="10"/>
  <c r="AD142" i="10"/>
  <c r="AD143" i="10"/>
  <c r="AD144" i="10"/>
  <c r="AD145" i="10"/>
  <c r="AD146" i="10"/>
  <c r="AD131" i="10"/>
  <c r="AD132" i="10"/>
  <c r="AD133" i="10"/>
  <c r="AD134" i="10"/>
  <c r="AD135" i="10"/>
  <c r="AD148" i="10"/>
  <c r="AC137" i="10"/>
  <c r="AC138" i="10"/>
  <c r="AC139" i="10"/>
  <c r="AC140" i="10"/>
  <c r="AC141" i="10"/>
  <c r="AC142" i="10"/>
  <c r="AC143" i="10"/>
  <c r="AC144" i="10"/>
  <c r="AC145" i="10"/>
  <c r="AC146" i="10"/>
  <c r="AC131" i="10"/>
  <c r="AC132" i="10"/>
  <c r="AC133" i="10"/>
  <c r="AC134" i="10"/>
  <c r="AC135" i="10"/>
  <c r="AC148" i="10"/>
  <c r="AB137" i="10"/>
  <c r="AB138" i="10"/>
  <c r="AB139" i="10"/>
  <c r="AB140" i="10"/>
  <c r="AB141" i="10"/>
  <c r="AB142" i="10"/>
  <c r="AB143" i="10"/>
  <c r="AB144" i="10"/>
  <c r="AB145" i="10"/>
  <c r="AB146" i="10"/>
  <c r="AB131" i="10"/>
  <c r="AB132" i="10"/>
  <c r="AB133" i="10"/>
  <c r="AB134" i="10"/>
  <c r="AB135" i="10"/>
  <c r="AB148" i="10"/>
  <c r="AA137" i="10"/>
  <c r="AA138" i="10"/>
  <c r="AA139" i="10"/>
  <c r="AA140" i="10"/>
  <c r="AA141" i="10"/>
  <c r="AA142" i="10"/>
  <c r="AA143" i="10"/>
  <c r="AA144" i="10"/>
  <c r="AA145" i="10"/>
  <c r="AA146" i="10"/>
  <c r="AA131" i="10"/>
  <c r="AA132" i="10"/>
  <c r="AA133" i="10"/>
  <c r="AA134" i="10"/>
  <c r="AA135" i="10"/>
  <c r="AA148" i="10"/>
  <c r="Z137" i="10"/>
  <c r="Z138" i="10"/>
  <c r="Z139" i="10"/>
  <c r="Z140" i="10"/>
  <c r="Z141" i="10"/>
  <c r="Z142" i="10"/>
  <c r="Z143" i="10"/>
  <c r="Z144" i="10"/>
  <c r="Z145" i="10"/>
  <c r="Z146" i="10"/>
  <c r="Z131" i="10"/>
  <c r="Z132" i="10"/>
  <c r="Z133" i="10"/>
  <c r="Z134" i="10"/>
  <c r="Z135" i="10"/>
  <c r="Z148" i="10"/>
  <c r="Y148" i="10"/>
  <c r="X148" i="10"/>
  <c r="W148" i="10"/>
  <c r="V148" i="10"/>
  <c r="U148" i="10"/>
  <c r="T148" i="10"/>
  <c r="S148" i="10"/>
  <c r="R148" i="10"/>
  <c r="Q148" i="10"/>
  <c r="P148" i="10"/>
  <c r="O148" i="10"/>
  <c r="N148" i="10"/>
  <c r="M148" i="10"/>
  <c r="L148" i="10"/>
  <c r="K148" i="10"/>
  <c r="J148" i="10"/>
  <c r="I148" i="10"/>
  <c r="H148" i="10"/>
  <c r="G148" i="10"/>
  <c r="F148" i="10"/>
  <c r="E148" i="10"/>
  <c r="D148" i="10"/>
  <c r="AD81" i="10"/>
  <c r="AD82" i="10"/>
  <c r="AD83" i="10"/>
  <c r="AD84" i="10"/>
  <c r="AD85" i="10"/>
  <c r="AD86" i="10"/>
  <c r="AD87" i="10"/>
  <c r="AD88" i="10"/>
  <c r="AD89" i="10"/>
  <c r="AD90" i="10"/>
  <c r="AD91" i="10"/>
  <c r="AD92" i="10"/>
  <c r="AD93" i="10"/>
  <c r="AD94" i="10"/>
  <c r="AD95" i="10"/>
  <c r="AD96" i="10"/>
  <c r="AD97" i="10"/>
  <c r="AD98" i="10"/>
  <c r="AD99" i="10"/>
  <c r="AD100" i="10"/>
  <c r="AD102" i="10"/>
  <c r="AD103" i="10"/>
  <c r="AD104" i="10"/>
  <c r="AD105" i="10"/>
  <c r="AD106" i="10"/>
  <c r="AD107" i="10"/>
  <c r="AD108" i="10"/>
  <c r="AD109" i="10"/>
  <c r="AD110" i="10"/>
  <c r="AD111" i="10"/>
  <c r="AD113" i="10"/>
  <c r="AD114" i="10"/>
  <c r="AD115" i="10"/>
  <c r="AD116" i="10"/>
  <c r="AD117" i="10"/>
  <c r="AD118" i="10"/>
  <c r="AD119" i="10"/>
  <c r="AD120" i="10"/>
  <c r="AD121" i="10"/>
  <c r="AD122" i="10"/>
  <c r="AD123" i="10"/>
  <c r="AD124" i="10"/>
  <c r="AD125" i="10"/>
  <c r="AD126" i="10"/>
  <c r="AD127" i="10"/>
  <c r="AD129" i="10"/>
  <c r="AC81" i="10"/>
  <c r="AC82" i="10"/>
  <c r="AC83" i="10"/>
  <c r="AC84" i="10"/>
  <c r="AC85" i="10"/>
  <c r="AC86" i="10"/>
  <c r="AC87" i="10"/>
  <c r="AC88" i="10"/>
  <c r="AC89" i="10"/>
  <c r="AC90" i="10"/>
  <c r="AC91" i="10"/>
  <c r="AC92" i="10"/>
  <c r="AC93" i="10"/>
  <c r="AC94" i="10"/>
  <c r="AC95" i="10"/>
  <c r="AC96" i="10"/>
  <c r="AC97" i="10"/>
  <c r="AC98" i="10"/>
  <c r="AC99" i="10"/>
  <c r="AC100" i="10"/>
  <c r="AC102" i="10"/>
  <c r="AC103" i="10"/>
  <c r="AC104" i="10"/>
  <c r="AC105" i="10"/>
  <c r="AC106" i="10"/>
  <c r="AC107" i="10"/>
  <c r="AC108" i="10"/>
  <c r="AC109" i="10"/>
  <c r="AC110" i="10"/>
  <c r="AC111" i="10"/>
  <c r="AC113" i="10"/>
  <c r="AC114" i="10"/>
  <c r="AC115" i="10"/>
  <c r="AC116" i="10"/>
  <c r="AC117" i="10"/>
  <c r="AC118" i="10"/>
  <c r="AC119" i="10"/>
  <c r="AC120" i="10"/>
  <c r="AC121" i="10"/>
  <c r="AC122" i="10"/>
  <c r="AC123" i="10"/>
  <c r="AC124" i="10"/>
  <c r="AC125" i="10"/>
  <c r="AC126" i="10"/>
  <c r="AC127" i="10"/>
  <c r="AC129" i="10"/>
  <c r="AB81" i="10"/>
  <c r="AB82" i="10"/>
  <c r="AB83" i="10"/>
  <c r="AB84" i="10"/>
  <c r="AB85" i="10"/>
  <c r="AB86" i="10"/>
  <c r="AB87" i="10"/>
  <c r="AB88" i="10"/>
  <c r="AB89" i="10"/>
  <c r="AB90" i="10"/>
  <c r="AB91" i="10"/>
  <c r="AB92" i="10"/>
  <c r="AB93" i="10"/>
  <c r="AB94" i="10"/>
  <c r="AB95" i="10"/>
  <c r="AB96" i="10"/>
  <c r="AB97" i="10"/>
  <c r="AB98" i="10"/>
  <c r="AB99" i="10"/>
  <c r="AB100" i="10"/>
  <c r="AB102" i="10"/>
  <c r="AB103" i="10"/>
  <c r="AB104" i="10"/>
  <c r="AB105" i="10"/>
  <c r="AB106" i="10"/>
  <c r="AB107" i="10"/>
  <c r="AB108" i="10"/>
  <c r="AB109" i="10"/>
  <c r="AB110" i="10"/>
  <c r="AB111" i="10"/>
  <c r="AB113" i="10"/>
  <c r="AB114" i="10"/>
  <c r="AB115" i="10"/>
  <c r="AB116" i="10"/>
  <c r="AB117" i="10"/>
  <c r="AB118" i="10"/>
  <c r="AB119" i="10"/>
  <c r="AB120" i="10"/>
  <c r="AB121" i="10"/>
  <c r="AB122" i="10"/>
  <c r="AB123" i="10"/>
  <c r="AB124" i="10"/>
  <c r="AB125" i="10"/>
  <c r="AB126" i="10"/>
  <c r="AB127" i="10"/>
  <c r="AB129" i="10"/>
  <c r="AA81" i="10"/>
  <c r="AA82" i="10"/>
  <c r="AA83" i="10"/>
  <c r="AA84" i="10"/>
  <c r="AA85" i="10"/>
  <c r="AA86" i="10"/>
  <c r="AA87" i="10"/>
  <c r="AA88" i="10"/>
  <c r="AA89" i="10"/>
  <c r="AA90" i="10"/>
  <c r="AA91" i="10"/>
  <c r="AA92" i="10"/>
  <c r="AA93" i="10"/>
  <c r="AA94" i="10"/>
  <c r="AA95" i="10"/>
  <c r="AA96" i="10"/>
  <c r="AA97" i="10"/>
  <c r="AA98" i="10"/>
  <c r="AA99" i="10"/>
  <c r="AA100" i="10"/>
  <c r="AA102" i="10"/>
  <c r="AA103" i="10"/>
  <c r="AA104" i="10"/>
  <c r="AA105" i="10"/>
  <c r="AA106" i="10"/>
  <c r="AA107" i="10"/>
  <c r="AA108" i="10"/>
  <c r="AA109" i="10"/>
  <c r="AA110" i="10"/>
  <c r="AA111" i="10"/>
  <c r="AA113" i="10"/>
  <c r="AA114" i="10"/>
  <c r="AA115" i="10"/>
  <c r="AA116" i="10"/>
  <c r="AA117" i="10"/>
  <c r="AA118" i="10"/>
  <c r="AA119" i="10"/>
  <c r="AA120" i="10"/>
  <c r="AA121" i="10"/>
  <c r="AA122" i="10"/>
  <c r="AA123" i="10"/>
  <c r="AA124" i="10"/>
  <c r="AA125" i="10"/>
  <c r="AA126" i="10"/>
  <c r="AA127" i="10"/>
  <c r="AA129" i="10"/>
  <c r="Z81" i="10"/>
  <c r="Z82" i="10"/>
  <c r="Z83" i="10"/>
  <c r="Z84" i="10"/>
  <c r="Z85" i="10"/>
  <c r="Z86" i="10"/>
  <c r="Z87" i="10"/>
  <c r="Z88" i="10"/>
  <c r="Z89" i="10"/>
  <c r="Z90" i="10"/>
  <c r="Z91" i="10"/>
  <c r="Z92" i="10"/>
  <c r="Z93" i="10"/>
  <c r="Z94" i="10"/>
  <c r="Z95" i="10"/>
  <c r="Z96" i="10"/>
  <c r="Z97" i="10"/>
  <c r="Z98" i="10"/>
  <c r="Z99" i="10"/>
  <c r="Z100" i="10"/>
  <c r="Z102" i="10"/>
  <c r="Z103" i="10"/>
  <c r="Z104" i="10"/>
  <c r="Z105" i="10"/>
  <c r="Z106" i="10"/>
  <c r="Z107" i="10"/>
  <c r="Z108" i="10"/>
  <c r="Z109" i="10"/>
  <c r="Z110" i="10"/>
  <c r="Z111" i="10"/>
  <c r="Z113" i="10"/>
  <c r="Z114" i="10"/>
  <c r="Z115" i="10"/>
  <c r="Z116" i="10"/>
  <c r="Z117" i="10"/>
  <c r="Z118" i="10"/>
  <c r="Z119" i="10"/>
  <c r="Z120" i="10"/>
  <c r="Z121" i="10"/>
  <c r="Z122" i="10"/>
  <c r="Z123" i="10"/>
  <c r="Z124" i="10"/>
  <c r="Z125" i="10"/>
  <c r="Z126" i="10"/>
  <c r="Z127" i="10"/>
  <c r="Z129" i="10"/>
  <c r="Y129" i="10"/>
  <c r="X129" i="10"/>
  <c r="W129" i="10"/>
  <c r="V129" i="10"/>
  <c r="U129" i="10"/>
  <c r="T129" i="10"/>
  <c r="S129" i="10"/>
  <c r="R129" i="10"/>
  <c r="Q129" i="10"/>
  <c r="P129" i="10"/>
  <c r="O129" i="10"/>
  <c r="N129" i="10"/>
  <c r="M129" i="10"/>
  <c r="L129" i="10"/>
  <c r="K129" i="10"/>
  <c r="J129" i="10"/>
  <c r="I129" i="10"/>
  <c r="H129" i="10"/>
  <c r="G129" i="10"/>
  <c r="F129" i="10"/>
  <c r="E129" i="10"/>
  <c r="D129" i="10"/>
  <c r="AD42" i="10"/>
  <c r="AD43" i="10"/>
  <c r="AD44" i="10"/>
  <c r="AD45" i="10"/>
  <c r="AD46" i="10"/>
  <c r="AD47" i="10"/>
  <c r="AD48" i="10"/>
  <c r="AD49" i="10"/>
  <c r="AD50" i="10"/>
  <c r="AD51" i="10"/>
  <c r="AD52" i="10"/>
  <c r="AD53" i="10"/>
  <c r="AD54" i="10"/>
  <c r="AD55" i="10"/>
  <c r="AD56" i="10"/>
  <c r="AD58" i="10"/>
  <c r="AD59" i="10"/>
  <c r="AD60" i="10"/>
  <c r="AD61" i="10"/>
  <c r="AD62" i="10"/>
  <c r="AD63" i="10"/>
  <c r="AD64" i="10"/>
  <c r="AD65" i="10"/>
  <c r="AD66" i="10"/>
  <c r="AD67" i="10"/>
  <c r="AD68" i="10"/>
  <c r="AD69" i="10"/>
  <c r="AD70" i="10"/>
  <c r="AD71" i="10"/>
  <c r="AD72" i="10"/>
  <c r="AD73" i="10"/>
  <c r="AD74" i="10"/>
  <c r="AD75" i="10"/>
  <c r="AD76" i="10"/>
  <c r="AD77" i="10"/>
  <c r="AD79" i="10"/>
  <c r="AC42" i="10"/>
  <c r="AC43" i="10"/>
  <c r="AC44" i="10"/>
  <c r="AC45" i="10"/>
  <c r="AC46" i="10"/>
  <c r="AC47" i="10"/>
  <c r="AC48" i="10"/>
  <c r="AC49" i="10"/>
  <c r="AC50" i="10"/>
  <c r="AC51" i="10"/>
  <c r="AC52" i="10"/>
  <c r="AC53" i="10"/>
  <c r="AC54" i="10"/>
  <c r="AC55" i="10"/>
  <c r="AC56" i="10"/>
  <c r="AC58" i="10"/>
  <c r="AC59" i="10"/>
  <c r="AC60" i="10"/>
  <c r="AC61" i="10"/>
  <c r="AC62" i="10"/>
  <c r="AC63" i="10"/>
  <c r="AC64" i="10"/>
  <c r="AC65" i="10"/>
  <c r="AC66" i="10"/>
  <c r="AC67" i="10"/>
  <c r="AC68" i="10"/>
  <c r="AC69" i="10"/>
  <c r="AC70" i="10"/>
  <c r="AC71" i="10"/>
  <c r="AC72" i="10"/>
  <c r="AC73" i="10"/>
  <c r="AC74" i="10"/>
  <c r="AC75" i="10"/>
  <c r="AC76" i="10"/>
  <c r="AC77" i="10"/>
  <c r="AC79" i="10"/>
  <c r="AB42" i="10"/>
  <c r="AB43" i="10"/>
  <c r="AB44" i="10"/>
  <c r="AB45" i="10"/>
  <c r="AB46" i="10"/>
  <c r="AB47" i="10"/>
  <c r="AB48" i="10"/>
  <c r="AB49" i="10"/>
  <c r="AB50" i="10"/>
  <c r="AB51" i="10"/>
  <c r="AB52" i="10"/>
  <c r="AB53" i="10"/>
  <c r="AB54" i="10"/>
  <c r="AB55" i="10"/>
  <c r="AB56" i="10"/>
  <c r="AB58" i="10"/>
  <c r="AB59" i="10"/>
  <c r="AB60" i="10"/>
  <c r="AB61" i="10"/>
  <c r="AB62" i="10"/>
  <c r="AB63" i="10"/>
  <c r="AB64" i="10"/>
  <c r="AB65" i="10"/>
  <c r="AB66" i="10"/>
  <c r="AB67" i="10"/>
  <c r="AB68" i="10"/>
  <c r="AB69" i="10"/>
  <c r="AB70" i="10"/>
  <c r="AB71" i="10"/>
  <c r="AB72" i="10"/>
  <c r="AB73" i="10"/>
  <c r="AB74" i="10"/>
  <c r="AB75" i="10"/>
  <c r="AB76" i="10"/>
  <c r="AB77" i="10"/>
  <c r="AB79" i="10"/>
  <c r="AA42" i="10"/>
  <c r="AA43" i="10"/>
  <c r="AA44" i="10"/>
  <c r="AA45" i="10"/>
  <c r="AA46" i="10"/>
  <c r="AA47" i="10"/>
  <c r="AA48" i="10"/>
  <c r="AA49" i="10"/>
  <c r="AA50" i="10"/>
  <c r="AA51" i="10"/>
  <c r="AA52" i="10"/>
  <c r="AA53" i="10"/>
  <c r="AA54" i="10"/>
  <c r="AA55" i="10"/>
  <c r="AA56" i="10"/>
  <c r="AA58" i="10"/>
  <c r="AA59" i="10"/>
  <c r="AA60" i="10"/>
  <c r="AA61" i="10"/>
  <c r="AA62" i="10"/>
  <c r="AA63" i="10"/>
  <c r="AA64" i="10"/>
  <c r="AA65" i="10"/>
  <c r="AA66" i="10"/>
  <c r="AA67" i="10"/>
  <c r="AA68" i="10"/>
  <c r="AA69" i="10"/>
  <c r="AA70" i="10"/>
  <c r="AA71" i="10"/>
  <c r="AA72" i="10"/>
  <c r="AA73" i="10"/>
  <c r="AA74" i="10"/>
  <c r="AA75" i="10"/>
  <c r="AA76" i="10"/>
  <c r="AA77" i="10"/>
  <c r="AA79" i="10"/>
  <c r="Z42" i="10"/>
  <c r="Z43" i="10"/>
  <c r="Z44" i="10"/>
  <c r="Z45" i="10"/>
  <c r="Z46" i="10"/>
  <c r="Z47" i="10"/>
  <c r="Z48" i="10"/>
  <c r="Z49" i="10"/>
  <c r="Z50" i="10"/>
  <c r="Z51" i="10"/>
  <c r="Z52" i="10"/>
  <c r="Z53" i="10"/>
  <c r="Z54" i="10"/>
  <c r="Z55" i="10"/>
  <c r="Z56" i="10"/>
  <c r="Z58" i="10"/>
  <c r="Z59" i="10"/>
  <c r="Z60" i="10"/>
  <c r="Z61" i="10"/>
  <c r="Z62" i="10"/>
  <c r="Z63" i="10"/>
  <c r="Z64" i="10"/>
  <c r="Z65" i="10"/>
  <c r="Z66" i="10"/>
  <c r="Z67" i="10"/>
  <c r="Z68" i="10"/>
  <c r="Z69" i="10"/>
  <c r="Z70" i="10"/>
  <c r="Z71" i="10"/>
  <c r="Z72" i="10"/>
  <c r="Z73" i="10"/>
  <c r="Z74" i="10"/>
  <c r="Z75" i="10"/>
  <c r="Z76" i="10"/>
  <c r="Z77" i="10"/>
  <c r="Z79" i="10"/>
  <c r="Y79" i="10"/>
  <c r="X79" i="10"/>
  <c r="W79" i="10"/>
  <c r="V79" i="10"/>
  <c r="U79" i="10"/>
  <c r="T79" i="10"/>
  <c r="S79" i="10"/>
  <c r="R79" i="10"/>
  <c r="Q79" i="10"/>
  <c r="P79" i="10"/>
  <c r="O79" i="10"/>
  <c r="N79" i="10"/>
  <c r="M79" i="10"/>
  <c r="L79" i="10"/>
  <c r="K79" i="10"/>
  <c r="J79" i="10"/>
  <c r="I79" i="10"/>
  <c r="H79" i="10"/>
  <c r="G79" i="10"/>
  <c r="F79" i="10"/>
  <c r="E79" i="10"/>
  <c r="D79" i="10"/>
  <c r="AD18" i="10"/>
  <c r="AD19" i="10"/>
  <c r="AD20" i="10"/>
  <c r="AD21" i="10"/>
  <c r="AD22" i="10"/>
  <c r="AD23" i="10"/>
  <c r="AD24" i="10"/>
  <c r="AD25" i="10"/>
  <c r="AD26" i="10"/>
  <c r="AD27" i="10"/>
  <c r="AD29" i="10"/>
  <c r="AD30" i="10"/>
  <c r="AD31" i="10"/>
  <c r="AD32" i="10"/>
  <c r="AD33" i="10"/>
  <c r="AD34" i="10"/>
  <c r="AD35" i="10"/>
  <c r="AD36" i="10"/>
  <c r="AD37" i="10"/>
  <c r="AD38" i="10"/>
  <c r="AD40" i="10"/>
  <c r="AC18" i="10"/>
  <c r="AC19" i="10"/>
  <c r="AC20" i="10"/>
  <c r="AC21" i="10"/>
  <c r="AC22" i="10"/>
  <c r="AC23" i="10"/>
  <c r="AC24" i="10"/>
  <c r="AC25" i="10"/>
  <c r="AC26" i="10"/>
  <c r="AC27" i="10"/>
  <c r="AC29" i="10"/>
  <c r="AC30" i="10"/>
  <c r="AC31" i="10"/>
  <c r="AC32" i="10"/>
  <c r="AC33" i="10"/>
  <c r="AC34" i="10"/>
  <c r="AC35" i="10"/>
  <c r="AC36" i="10"/>
  <c r="AC37" i="10"/>
  <c r="AC38" i="10"/>
  <c r="AC40" i="10"/>
  <c r="AB18" i="10"/>
  <c r="AB19" i="10"/>
  <c r="AB20" i="10"/>
  <c r="AB21" i="10"/>
  <c r="AB22" i="10"/>
  <c r="AB23" i="10"/>
  <c r="AB24" i="10"/>
  <c r="AB25" i="10"/>
  <c r="AB26" i="10"/>
  <c r="AB27" i="10"/>
  <c r="AB29" i="10"/>
  <c r="AB30" i="10"/>
  <c r="AB31" i="10"/>
  <c r="AB32" i="10"/>
  <c r="AB33" i="10"/>
  <c r="AB34" i="10"/>
  <c r="AB40" i="10" s="1"/>
  <c r="AB35" i="10"/>
  <c r="AB36" i="10"/>
  <c r="AB37" i="10"/>
  <c r="AB38" i="10"/>
  <c r="AA18" i="10"/>
  <c r="AA19" i="10"/>
  <c r="AA20" i="10"/>
  <c r="AA21" i="10"/>
  <c r="AA22" i="10"/>
  <c r="AA23" i="10"/>
  <c r="AA24" i="10"/>
  <c r="AA25" i="10"/>
  <c r="AA26" i="10"/>
  <c r="AA27" i="10"/>
  <c r="AA29" i="10"/>
  <c r="AA30" i="10"/>
  <c r="AA31" i="10"/>
  <c r="AA32" i="10"/>
  <c r="AA33" i="10"/>
  <c r="AA40" i="10" s="1"/>
  <c r="AA34" i="10"/>
  <c r="AA35" i="10"/>
  <c r="AA36" i="10"/>
  <c r="AA37" i="10"/>
  <c r="AA38" i="10"/>
  <c r="Z18" i="10"/>
  <c r="Z19" i="10"/>
  <c r="Z20" i="10"/>
  <c r="Z21" i="10"/>
  <c r="Z22" i="10"/>
  <c r="Z23" i="10"/>
  <c r="Z24" i="10"/>
  <c r="Z25" i="10"/>
  <c r="Z26" i="10"/>
  <c r="Z27" i="10"/>
  <c r="Z29" i="10"/>
  <c r="Z30" i="10"/>
  <c r="Z31" i="10"/>
  <c r="Z32" i="10"/>
  <c r="Z33" i="10"/>
  <c r="Z34" i="10"/>
  <c r="Z35" i="10"/>
  <c r="Z36" i="10"/>
  <c r="Z37" i="10"/>
  <c r="Z38" i="10"/>
  <c r="Z40" i="10"/>
  <c r="Y40" i="10"/>
  <c r="X40" i="10"/>
  <c r="W40" i="10"/>
  <c r="V40" i="10"/>
  <c r="U40" i="10"/>
  <c r="T40" i="10"/>
  <c r="S40" i="10"/>
  <c r="R40" i="10"/>
  <c r="Q40" i="10"/>
  <c r="P40" i="10"/>
  <c r="O40" i="10"/>
  <c r="N40" i="10"/>
  <c r="M40" i="10"/>
  <c r="L40" i="10"/>
  <c r="K40" i="10"/>
  <c r="J40" i="10"/>
  <c r="I40" i="10"/>
  <c r="H40" i="10"/>
  <c r="G40" i="10"/>
  <c r="F40" i="10"/>
  <c r="E40" i="10"/>
  <c r="D40" i="10"/>
  <c r="AD5" i="10"/>
  <c r="AD6" i="10"/>
  <c r="AD7" i="10"/>
  <c r="AD8" i="10"/>
  <c r="AD9" i="10"/>
  <c r="AD10" i="10"/>
  <c r="AD11" i="10"/>
  <c r="AD12" i="10"/>
  <c r="AD13" i="10"/>
  <c r="AD14" i="10"/>
  <c r="AD16" i="10"/>
  <c r="AC5" i="10"/>
  <c r="AC6" i="10"/>
  <c r="AC7" i="10"/>
  <c r="AC8" i="10"/>
  <c r="AC9" i="10"/>
  <c r="AC10" i="10"/>
  <c r="AC11" i="10"/>
  <c r="AC12" i="10"/>
  <c r="AC13" i="10"/>
  <c r="AC16" i="10" s="1"/>
  <c r="AC14" i="10"/>
  <c r="AB5" i="10"/>
  <c r="AB16" i="10" s="1"/>
  <c r="AB6" i="10"/>
  <c r="AB7" i="10"/>
  <c r="AB8" i="10"/>
  <c r="AB9" i="10"/>
  <c r="AB10" i="10"/>
  <c r="AB11" i="10"/>
  <c r="AB12" i="10"/>
  <c r="AB13" i="10"/>
  <c r="AB14" i="10"/>
  <c r="AA5" i="10"/>
  <c r="AA6" i="10"/>
  <c r="AA7" i="10"/>
  <c r="AA8" i="10"/>
  <c r="AA9" i="10"/>
  <c r="AA16" i="10" s="1"/>
  <c r="AA10" i="10"/>
  <c r="AA11" i="10"/>
  <c r="AA12" i="10"/>
  <c r="AA13" i="10"/>
  <c r="AA14" i="10"/>
  <c r="Z5" i="10"/>
  <c r="Z6" i="10"/>
  <c r="Z16" i="10" s="1"/>
  <c r="Z7" i="10"/>
  <c r="Z8" i="10"/>
  <c r="Z9" i="10"/>
  <c r="Z10" i="10"/>
  <c r="Z11" i="10"/>
  <c r="Z12" i="10"/>
  <c r="Z13" i="10"/>
  <c r="Z14" i="10"/>
  <c r="Y16" i="10"/>
  <c r="X16" i="10"/>
  <c r="W16" i="10"/>
  <c r="V16" i="10"/>
  <c r="U16" i="10"/>
  <c r="T16" i="10"/>
  <c r="S16" i="10"/>
  <c r="R16" i="10"/>
  <c r="Q16" i="10"/>
  <c r="P16" i="10"/>
  <c r="O16" i="10"/>
  <c r="N16" i="10"/>
  <c r="M16" i="10"/>
  <c r="L16" i="10"/>
  <c r="K16" i="10"/>
  <c r="J16" i="10"/>
  <c r="I16" i="10"/>
  <c r="H16" i="10"/>
  <c r="G16" i="10"/>
  <c r="F16" i="10"/>
  <c r="E16" i="10"/>
  <c r="D16" i="10"/>
  <c r="V14" i="16" l="1"/>
  <c r="AK14" i="16"/>
  <c r="X11" i="21"/>
  <c r="AA11" i="21"/>
  <c r="W11" i="21"/>
  <c r="S24" i="21"/>
  <c r="Z11" i="21"/>
  <c r="V11" i="21"/>
  <c r="AC11" i="21"/>
  <c r="Y11" i="21"/>
  <c r="U11" i="21"/>
  <c r="X19" i="21"/>
  <c r="AA19" i="21"/>
  <c r="W19" i="21"/>
  <c r="Z19" i="21"/>
  <c r="V19" i="21"/>
  <c r="Y19" i="21"/>
  <c r="U19" i="21"/>
  <c r="Y14" i="16"/>
  <c r="AM14" i="16"/>
  <c r="T14" i="16"/>
  <c r="AO14" i="16"/>
  <c r="Q14" i="21"/>
  <c r="R14" i="21" s="1"/>
  <c r="T14" i="21" s="1"/>
  <c r="P15" i="21"/>
  <c r="Q15" i="21" s="1"/>
  <c r="R15" i="21" s="1"/>
  <c r="T15" i="21" s="1"/>
  <c r="Z17" i="21"/>
  <c r="V17" i="21"/>
  <c r="Y17" i="21"/>
  <c r="U17" i="21"/>
  <c r="AB17" i="21"/>
  <c r="X17" i="21"/>
  <c r="AA17" i="21"/>
  <c r="W17" i="21"/>
  <c r="AB14" i="16"/>
  <c r="AA16" i="21"/>
  <c r="AB8" i="21"/>
  <c r="AC8" i="21" s="1"/>
  <c r="AD8" i="21" s="1"/>
  <c r="AA12" i="21"/>
  <c r="W12" i="21"/>
  <c r="S25" i="21"/>
  <c r="Z12" i="21"/>
  <c r="V12" i="21"/>
  <c r="Y12" i="21"/>
  <c r="U12" i="21"/>
  <c r="AB12" i="21"/>
  <c r="X12" i="21"/>
  <c r="Y18" i="21"/>
  <c r="U18" i="21"/>
  <c r="X18" i="21"/>
  <c r="AA18" i="21"/>
  <c r="W18" i="21"/>
  <c r="Z18" i="21"/>
  <c r="V18" i="21"/>
  <c r="Q29" i="21"/>
  <c r="R28" i="21"/>
  <c r="S28" i="21" s="1"/>
  <c r="V12" i="16"/>
  <c r="AB12" i="16"/>
  <c r="AH12" i="16"/>
  <c r="AH14" i="16" s="1"/>
  <c r="AQ12" i="16"/>
  <c r="AQ14" i="16" s="1"/>
  <c r="AD12" i="16"/>
  <c r="AD14" i="16" s="1"/>
  <c r="X16" i="21"/>
  <c r="AB16" i="21"/>
  <c r="R27" i="21"/>
  <c r="S27" i="21" s="1"/>
  <c r="AI12" i="16"/>
  <c r="AI14" i="16" s="1"/>
  <c r="M11" i="21"/>
  <c r="U16" i="21"/>
  <c r="Y16" i="21"/>
  <c r="V16" i="21"/>
  <c r="Q13" i="21"/>
  <c r="R13" i="21" s="1"/>
  <c r="T13" i="21" s="1"/>
  <c r="S26" i="21" l="1"/>
  <c r="Z13" i="21"/>
  <c r="V13" i="21"/>
  <c r="AC13" i="21"/>
  <c r="Y13" i="21"/>
  <c r="U13" i="21"/>
  <c r="AB13" i="21"/>
  <c r="X13" i="21"/>
  <c r="AA13" i="21"/>
  <c r="W13" i="21"/>
  <c r="AC18" i="21"/>
  <c r="R29" i="21"/>
  <c r="S29" i="21" s="1"/>
  <c r="Q30" i="21"/>
  <c r="AB19" i="21"/>
  <c r="AB15" i="21"/>
  <c r="X15" i="21"/>
  <c r="AA15" i="21"/>
  <c r="W15" i="21"/>
  <c r="Z15" i="21"/>
  <c r="V15" i="21"/>
  <c r="AC15" i="21"/>
  <c r="Y15" i="21"/>
  <c r="U15" i="21"/>
  <c r="AC16" i="21"/>
  <c r="AB18" i="21"/>
  <c r="AC12" i="21"/>
  <c r="AC17" i="21"/>
  <c r="AC14" i="21"/>
  <c r="Y14" i="21"/>
  <c r="U14" i="21"/>
  <c r="AB14" i="21"/>
  <c r="X14" i="21"/>
  <c r="AA14" i="21"/>
  <c r="W14" i="21"/>
  <c r="Z14" i="21"/>
  <c r="V14" i="21"/>
  <c r="AC19" i="21"/>
  <c r="AB11" i="21"/>
  <c r="Q31" i="21" l="1"/>
  <c r="R30" i="21"/>
  <c r="S30" i="21" s="1"/>
  <c r="Q32" i="21" l="1"/>
  <c r="R32" i="21" s="1"/>
  <c r="S32" i="21" s="1"/>
  <c r="R31" i="21"/>
  <c r="S31" i="21" s="1"/>
</calcChain>
</file>

<file path=xl/sharedStrings.xml><?xml version="1.0" encoding="utf-8"?>
<sst xmlns="http://schemas.openxmlformats.org/spreadsheetml/2006/main" count="1198" uniqueCount="699">
  <si>
    <t>Phase Fraction</t>
  </si>
  <si>
    <t>Est. Modal Abundances</t>
  </si>
  <si>
    <t>Garnet</t>
  </si>
  <si>
    <t>Omphacite</t>
  </si>
  <si>
    <t>Phengite</t>
  </si>
  <si>
    <t>Amphibole</t>
  </si>
  <si>
    <t>Quartz</t>
  </si>
  <si>
    <t>Titanite</t>
  </si>
  <si>
    <t>Rutile</t>
  </si>
  <si>
    <t>Apatite</t>
  </si>
  <si>
    <t>SUM</t>
  </si>
  <si>
    <t>SEC 42-06</t>
  </si>
  <si>
    <t>-</t>
  </si>
  <si>
    <t>SEC 43-01</t>
  </si>
  <si>
    <t>SEC 43-03</t>
  </si>
  <si>
    <t>SEC46-01</t>
  </si>
  <si>
    <t>SEC46-02</t>
  </si>
  <si>
    <t>SEC47-01</t>
  </si>
  <si>
    <t>Average Mineral Modes</t>
  </si>
  <si>
    <t>Clinopyroxene</t>
  </si>
  <si>
    <t>Sample</t>
  </si>
  <si>
    <t>Description</t>
  </si>
  <si>
    <t>No. grains analyzed</t>
  </si>
  <si>
    <t>No. Analyses</t>
  </si>
  <si>
    <t>F (µg/g)</t>
  </si>
  <si>
    <t>F Error % (2SE Internal + Calibration Curve)</t>
  </si>
  <si>
    <t>Cl (µg/g)</t>
  </si>
  <si>
    <t>Cl Error % (2SE Internal + Calibration Curve)</t>
  </si>
  <si>
    <t>OH (µg/g)</t>
  </si>
  <si>
    <t>OH Error % (2SE Internal + Calibration Curve)</t>
  </si>
  <si>
    <t>OH Error % (2SE Internal, Calibration, Background)</t>
  </si>
  <si>
    <t>S (µg/g)</t>
  </si>
  <si>
    <t>S Error % (2SE Internal + Calibration Curve)</t>
  </si>
  <si>
    <t>Eclogite</t>
  </si>
  <si>
    <t>&lt;0.1</t>
  </si>
  <si>
    <t>SEC 46-02</t>
  </si>
  <si>
    <t>SEC43-01</t>
  </si>
  <si>
    <t>SEC43-01_grt_1@44</t>
  </si>
  <si>
    <t>SEC43-01_grt_07@50</t>
  </si>
  <si>
    <t>SEC43-01_grt_3@46</t>
  </si>
  <si>
    <t>SEC43-01_grt_06@49</t>
  </si>
  <si>
    <t>SEC43-01_grt_04@47</t>
  </si>
  <si>
    <t>SEC43-01_grt_5@48</t>
  </si>
  <si>
    <t>SEC43-01_grt_2@45</t>
  </si>
  <si>
    <t>OH µg/g</t>
  </si>
  <si>
    <t>OH Error % (2SE Int+Calib)</t>
  </si>
  <si>
    <t>F µg/g</t>
  </si>
  <si>
    <t>F Error % (2SE Int+Calib)</t>
  </si>
  <si>
    <t>S µg/g</t>
  </si>
  <si>
    <t>C Error % (2SE Int+Calib)</t>
  </si>
  <si>
    <t>Cl µg/g</t>
  </si>
  <si>
    <t>Cl Error % (2SE Int+Calib)</t>
  </si>
  <si>
    <t>Distance (µm)</t>
  </si>
  <si>
    <t>Core</t>
  </si>
  <si>
    <t>Rim</t>
  </si>
  <si>
    <t>SEC43-01_omph_1@70</t>
  </si>
  <si>
    <t>SEC43-01_omph_3@72</t>
  </si>
  <si>
    <t>SEC43-01_omph_5@74</t>
  </si>
  <si>
    <t>SEC43-01_omph_7@76</t>
  </si>
  <si>
    <t>SEC43-01_omph_8@77</t>
  </si>
  <si>
    <t>SEC43-01_omph_9@78</t>
  </si>
  <si>
    <t>SEC43-01_omph_6@75</t>
  </si>
  <si>
    <t>SEC43-01_omph_4@73</t>
  </si>
  <si>
    <t>SEC43-01_omph_2@71</t>
  </si>
  <si>
    <t>SEC43-01_phen_2@52</t>
  </si>
  <si>
    <t>SEC43-01_phen_3@53</t>
  </si>
  <si>
    <t>SEC43-01_phen_5@55</t>
  </si>
  <si>
    <t>SEC43-01_phen_4@54</t>
  </si>
  <si>
    <t>SEC43-01_phen_1@51</t>
  </si>
  <si>
    <t>SEC43-01_phen_9@63</t>
  </si>
  <si>
    <t>SEC43-01_phen_8@62</t>
  </si>
  <si>
    <t>SEC43-01_phen_7@61</t>
  </si>
  <si>
    <t>SEC43-01_phen_6@60</t>
  </si>
  <si>
    <t>Rim, to grt grain boundary</t>
  </si>
  <si>
    <t>Rim, to omphacite grain boundary</t>
  </si>
  <si>
    <t>Uncorrected for Yield</t>
  </si>
  <si>
    <t>Corrected for Yield</t>
  </si>
  <si>
    <t>Calculated Bulk (WHOI)</t>
  </si>
  <si>
    <t>Pyrohydrolysis (UTA)</t>
  </si>
  <si>
    <t>Calculated/Measured Bulk</t>
  </si>
  <si>
    <t>Notes</t>
  </si>
  <si>
    <t xml:space="preserve">Sample </t>
  </si>
  <si>
    <t>F %</t>
  </si>
  <si>
    <t>Cl %</t>
  </si>
  <si>
    <t>SEC42-06</t>
  </si>
  <si>
    <t>SEC43-03</t>
  </si>
  <si>
    <t>Average</t>
  </si>
  <si>
    <t>Standard Deviation</t>
  </si>
  <si>
    <t>Average*</t>
  </si>
  <si>
    <t>Standard Deviation*</t>
  </si>
  <si>
    <t>* Excludes SEC46-02 due to retrograde alteration</t>
  </si>
  <si>
    <t>* Values used in bulk flux calculations</t>
  </si>
  <si>
    <t>AOC (Barnes et al. 2018)</t>
  </si>
  <si>
    <t>Average Reycling Efficiency (to mantle)</t>
  </si>
  <si>
    <t>Page et al. 2016</t>
  </si>
  <si>
    <t>Debret et al. 2016</t>
  </si>
  <si>
    <t>Hughes et al. 2018</t>
  </si>
  <si>
    <t>Cpx</t>
  </si>
  <si>
    <t>Grt</t>
  </si>
  <si>
    <t>Phen</t>
  </si>
  <si>
    <t>Amph</t>
  </si>
  <si>
    <t>Weight % Oxide</t>
  </si>
  <si>
    <t>Atoms per formula unit</t>
  </si>
  <si>
    <t>Cumulative Distance (µm)</t>
  </si>
  <si>
    <t xml:space="preserve">Dist to grain boundary (µm) </t>
  </si>
  <si>
    <t xml:space="preserve">   Cr2O3 </t>
  </si>
  <si>
    <t xml:space="preserve">   Al2O3 </t>
  </si>
  <si>
    <t xml:space="preserve">   CaO   </t>
  </si>
  <si>
    <t xml:space="preserve">   MnO   </t>
  </si>
  <si>
    <t xml:space="preserve">   Na2O  </t>
  </si>
  <si>
    <t xml:space="preserve">   TiO2  </t>
  </si>
  <si>
    <t xml:space="preserve">   SiO2  </t>
  </si>
  <si>
    <t xml:space="preserve">   K2O   </t>
  </si>
  <si>
    <t xml:space="preserve">   FeO   </t>
  </si>
  <si>
    <t xml:space="preserve">   MgO   </t>
  </si>
  <si>
    <t xml:space="preserve">  Total  </t>
  </si>
  <si>
    <t xml:space="preserve">      Cr </t>
  </si>
  <si>
    <t xml:space="preserve">      Al </t>
  </si>
  <si>
    <t xml:space="preserve">      Ca </t>
  </si>
  <si>
    <t xml:space="preserve">      Mn </t>
  </si>
  <si>
    <t xml:space="preserve">      Na </t>
  </si>
  <si>
    <t xml:space="preserve">      Ti </t>
  </si>
  <si>
    <t xml:space="preserve">      Si </t>
  </si>
  <si>
    <t xml:space="preserve">      K  </t>
  </si>
  <si>
    <t xml:space="preserve">      Fe </t>
  </si>
  <si>
    <t xml:space="preserve">      Mg </t>
  </si>
  <si>
    <t>X Almandine</t>
  </si>
  <si>
    <t>X Pyrope</t>
  </si>
  <si>
    <t>X Grossular</t>
  </si>
  <si>
    <t>X Spessartine</t>
  </si>
  <si>
    <t xml:space="preserve">Fe/(Fe+Mg) </t>
  </si>
  <si>
    <t xml:space="preserve">Line 1 SEC42-06_grt_profile </t>
  </si>
  <si>
    <t xml:space="preserve">Line 2 SEC42-06_grt_profile </t>
  </si>
  <si>
    <t xml:space="preserve">Line 3 SEC42-06_grt_profile </t>
  </si>
  <si>
    <t xml:space="preserve">Line 4 SEC42-06_grt_profile </t>
  </si>
  <si>
    <t xml:space="preserve">Line 5 SEC42-06_grt_profile </t>
  </si>
  <si>
    <t xml:space="preserve">Line 6 SEC42-06_grt_profile </t>
  </si>
  <si>
    <t xml:space="preserve">Line 7 SEC42-06_grt_profile </t>
  </si>
  <si>
    <t xml:space="preserve">Line 8 SEC42-06_grt_profile </t>
  </si>
  <si>
    <t xml:space="preserve">Line 9 SEC42-06_grt_profile </t>
  </si>
  <si>
    <t xml:space="preserve">Line 10 SEC42-06_grt_profile </t>
  </si>
  <si>
    <t>SEC42-06 Average</t>
  </si>
  <si>
    <t xml:space="preserve">Line 1 43-01_grt_grt-&gt;phen </t>
  </si>
  <si>
    <t xml:space="preserve">Line 2 43-01_grt_grt-&gt;phen </t>
  </si>
  <si>
    <t xml:space="preserve">Line 3 43-01_grt_grt-&gt;phen </t>
  </si>
  <si>
    <t xml:space="preserve">Line 4 43-01_grt_grt-&gt;phen </t>
  </si>
  <si>
    <t xml:space="preserve">Line 5 43-01_grt_grt-&gt;phen </t>
  </si>
  <si>
    <t xml:space="preserve">Line 6 43-01_grt_grt-&gt;phen </t>
  </si>
  <si>
    <t xml:space="preserve">Line 7 43-01_grt_grt-&gt;phen </t>
  </si>
  <si>
    <t xml:space="preserve">Line 8 43-01_grt_grt-&gt;phen </t>
  </si>
  <si>
    <t xml:space="preserve">Line 9 43-01_grt_grt-&gt;phen </t>
  </si>
  <si>
    <t xml:space="preserve">Line 10 43-01_grt_grt-&gt;phen </t>
  </si>
  <si>
    <t xml:space="preserve">Line 1 43-01_grt_grt-&gt;cpx1 </t>
  </si>
  <si>
    <t xml:space="preserve">Line 2 43-01_grt_grt-&gt;cpx1 </t>
  </si>
  <si>
    <t xml:space="preserve">Line 3 43-01_grt_grt-&gt;cpx1 </t>
  </si>
  <si>
    <t xml:space="preserve">Line 4 43-01_grt_grt-&gt;cpx1 </t>
  </si>
  <si>
    <t xml:space="preserve">Line 5 43-01_grt_grt-&gt;cpx1 </t>
  </si>
  <si>
    <t xml:space="preserve">Line 6 43-01_grt_grt-&gt;cpx1 </t>
  </si>
  <si>
    <t xml:space="preserve">Line 7 43-01_grt_grt-&gt;cpx1 </t>
  </si>
  <si>
    <t xml:space="preserve">Line 8 43-01_grt_grt-&gt;cpx1 </t>
  </si>
  <si>
    <t xml:space="preserve">Line 9 43-01_grt_grt-&gt;cpx1 </t>
  </si>
  <si>
    <t xml:space="preserve">Line 10 43-01_grt_grt-&gt;cpx1 </t>
  </si>
  <si>
    <t>Sec43-01 Average</t>
  </si>
  <si>
    <t xml:space="preserve">Line 1 SEC43-03_Grt1 </t>
  </si>
  <si>
    <t xml:space="preserve">Line 2 SEC43-03_GRT1 </t>
  </si>
  <si>
    <t xml:space="preserve">Line 3 SEC43-03 GRT1 </t>
  </si>
  <si>
    <t xml:space="preserve">Line 4 SEC43-03 GRT1 </t>
  </si>
  <si>
    <t xml:space="preserve">Line 5 SEC43-03 GRT1 </t>
  </si>
  <si>
    <t xml:space="preserve">Line 6 SEC43-03 GRT1 </t>
  </si>
  <si>
    <t xml:space="preserve">Line 7 SEC43-03 GRT1 </t>
  </si>
  <si>
    <t xml:space="preserve">Line 8 SEC43-03 GRT1 </t>
  </si>
  <si>
    <t xml:space="preserve">Line 9 SEC43-03 GRT1 </t>
  </si>
  <si>
    <t xml:space="preserve">Line 10 SEC43-03 GRT1 </t>
  </si>
  <si>
    <t xml:space="preserve">Line 11 SEC43-03 GRT1 </t>
  </si>
  <si>
    <t xml:space="preserve">Line 12 SEC43-03 GRT1 </t>
  </si>
  <si>
    <t xml:space="preserve">Line 13 SEC43-03 GRT1 </t>
  </si>
  <si>
    <t xml:space="preserve">Line 14 SEC43-03 GRT1 </t>
  </si>
  <si>
    <t xml:space="preserve">Line 15 SEC43-03 GRT1 </t>
  </si>
  <si>
    <t xml:space="preserve">Line 1 SEC43-03_Grt2 </t>
  </si>
  <si>
    <t xml:space="preserve">Line 2 SEC43-03_Grt2 </t>
  </si>
  <si>
    <t xml:space="preserve">Line 3 SEC43-03_Grt2 </t>
  </si>
  <si>
    <t xml:space="preserve">Line 4 SEC43-03_Grt2 </t>
  </si>
  <si>
    <t xml:space="preserve">Line 5 SEC43-03_Grt2 </t>
  </si>
  <si>
    <t xml:space="preserve">Line 6 SEC43-03_Grt2 </t>
  </si>
  <si>
    <t xml:space="preserve">Line 7 SEC43-03_Grt2 </t>
  </si>
  <si>
    <t xml:space="preserve">Line 8 SEC43-03_Grt2 </t>
  </si>
  <si>
    <t xml:space="preserve">Line 9 SEC43-03_Grt2 </t>
  </si>
  <si>
    <t xml:space="preserve">Line 10 SEC43-03_Grt2 </t>
  </si>
  <si>
    <t xml:space="preserve">Line 11 SEC43-03_Grt2 </t>
  </si>
  <si>
    <t xml:space="preserve">Line 12 SEC43-03_Grt2 </t>
  </si>
  <si>
    <t xml:space="preserve">Line 13 SEC43-03_Grt2 </t>
  </si>
  <si>
    <t xml:space="preserve">Line 14 SEC43-03_Grt2 </t>
  </si>
  <si>
    <t xml:space="preserve">Line 15 SEC43-03_Grt2 </t>
  </si>
  <si>
    <t xml:space="preserve">Line 16 SEC43-03_Grt2 </t>
  </si>
  <si>
    <t xml:space="preserve">Line 17 SEC43-03_Grt2 </t>
  </si>
  <si>
    <t xml:space="preserve">Line 18 SEC43-03_Grt2 </t>
  </si>
  <si>
    <t xml:space="preserve">Line 19 SEC43-03_Grt2 </t>
  </si>
  <si>
    <t xml:space="preserve">Line 20 SEC43-03_Grt2 </t>
  </si>
  <si>
    <t>SEC43-03 Average</t>
  </si>
  <si>
    <t xml:space="preserve">Line 1 SEC46-01_grt1 </t>
  </si>
  <si>
    <t xml:space="preserve">Line 2 SEC46-01_grt1 </t>
  </si>
  <si>
    <t xml:space="preserve">Line 3 SEC46-01_grt1 </t>
  </si>
  <si>
    <t xml:space="preserve">Line 4 SEC46-01_grt1 </t>
  </si>
  <si>
    <t xml:space="preserve">Line 5 SEC46-01_grt1 </t>
  </si>
  <si>
    <t xml:space="preserve">Line 6 SEC46-01_grt1 </t>
  </si>
  <si>
    <t xml:space="preserve">Line 7 SEC46-01_grt1 </t>
  </si>
  <si>
    <t xml:space="preserve">Line 8 SEC46-01_grt1 </t>
  </si>
  <si>
    <t xml:space="preserve">Line 9 SEC46-01_grt1 </t>
  </si>
  <si>
    <t xml:space="preserve">Line 10 SEC46-01_grt1 </t>
  </si>
  <si>
    <t xml:space="preserve">Line 11 SEC46-01_grt1 </t>
  </si>
  <si>
    <t xml:space="preserve">Line 12 SEC46-01_grt1 </t>
  </si>
  <si>
    <t xml:space="preserve">Line 13 SEC46-01_grt1 </t>
  </si>
  <si>
    <t xml:space="preserve">Line 14 SEC46-01_grt1 </t>
  </si>
  <si>
    <t xml:space="preserve">Line 15 SEC46-01_grt1 </t>
  </si>
  <si>
    <t xml:space="preserve">Line 16 SEC46-01_grt1 </t>
  </si>
  <si>
    <t xml:space="preserve">Line 17 SEC46-01_grt1 </t>
  </si>
  <si>
    <t xml:space="preserve">Line 18 SEC46-01_grt1 </t>
  </si>
  <si>
    <t xml:space="preserve">Line 19 SEC46-01_grt1 </t>
  </si>
  <si>
    <t xml:space="preserve">Line 20 SEC46-01_grt1 </t>
  </si>
  <si>
    <t xml:space="preserve">Line 1 SEC46-1_grt3 </t>
  </si>
  <si>
    <t xml:space="preserve">Line 2 SEC46-01_grt3 </t>
  </si>
  <si>
    <t xml:space="preserve">Line 3 SEC46-01_grt3 </t>
  </si>
  <si>
    <t xml:space="preserve">Line 4 SEC46-01_grt3 </t>
  </si>
  <si>
    <t xml:space="preserve">Line 5 SEC46-01_grt3 </t>
  </si>
  <si>
    <t xml:space="preserve">Line 6 SEC46-01_grt3 </t>
  </si>
  <si>
    <t xml:space="preserve">Line 7 SEC46-01_grt3 </t>
  </si>
  <si>
    <t xml:space="preserve">Line 8 SEC46-01_grt3 </t>
  </si>
  <si>
    <t xml:space="preserve">Line 9 SEC46-01_grt3 </t>
  </si>
  <si>
    <t xml:space="preserve">Line 10 SEC46-01_grt3 </t>
  </si>
  <si>
    <t xml:space="preserve">Line 1 SEC46-01_grt2 </t>
  </si>
  <si>
    <t xml:space="preserve">Line 2 SEC46-01_grt2 </t>
  </si>
  <si>
    <t xml:space="preserve">Line 3 SEC46-01_grt2 </t>
  </si>
  <si>
    <t xml:space="preserve">Line 4 SEC46-01_grt2 </t>
  </si>
  <si>
    <t xml:space="preserve">Line 5 SEC46-01_grt2 </t>
  </si>
  <si>
    <t xml:space="preserve">Line 6 SEC46-01_grt2 </t>
  </si>
  <si>
    <t xml:space="preserve">Line 7 SEC46-01_grt2 </t>
  </si>
  <si>
    <t xml:space="preserve">Line 8 SEC46-01_grt2 </t>
  </si>
  <si>
    <t xml:space="preserve">Line 9 SEC46-01_grt2 </t>
  </si>
  <si>
    <t xml:space="preserve">Line 10 SEC46-01_grt2 </t>
  </si>
  <si>
    <t xml:space="preserve">Line 11 SEC46-01_grt2 </t>
  </si>
  <si>
    <t xml:space="preserve">Line 12 SEC46-01_grt2 </t>
  </si>
  <si>
    <t xml:space="preserve">Line 13 SEC46-01_grt2 </t>
  </si>
  <si>
    <t xml:space="preserve">Line 14 SEC46-01_grt2 </t>
  </si>
  <si>
    <t xml:space="preserve">Line 15 SEC46-01_grt2 </t>
  </si>
  <si>
    <t>SEC46-01 Average</t>
  </si>
  <si>
    <t xml:space="preserve">Line 1 SEC46-02_grt1 </t>
  </si>
  <si>
    <t xml:space="preserve">Line 2 SEC46-02_grt1 </t>
  </si>
  <si>
    <t xml:space="preserve">Line 3 SEC46-02_grt1 </t>
  </si>
  <si>
    <t xml:space="preserve">Line 4 SEC46-02_grt1 </t>
  </si>
  <si>
    <t xml:space="preserve">Line 5 SEC46-02_grt1 </t>
  </si>
  <si>
    <t xml:space="preserve">Line 1 SEC46-02_grt2 </t>
  </si>
  <si>
    <t xml:space="preserve">Line 2 SEC46-02_grt2 </t>
  </si>
  <si>
    <t xml:space="preserve">Line 3 SEC46-02_grt2 </t>
  </si>
  <si>
    <t xml:space="preserve">Line 4 SEC46-02_grt2 </t>
  </si>
  <si>
    <t xml:space="preserve">Line 5 SEC46-02_grt2 </t>
  </si>
  <si>
    <t xml:space="preserve">Line 6 SEC46-02_grt2 </t>
  </si>
  <si>
    <t xml:space="preserve">Line 7 SEC46-02_grt2 </t>
  </si>
  <si>
    <t xml:space="preserve">Line 8 SEC46-02_grt2 </t>
  </si>
  <si>
    <t xml:space="preserve">Line 9 SEC46-02_grt2 </t>
  </si>
  <si>
    <t xml:space="preserve">Line 10 SEC46-02_grt2 </t>
  </si>
  <si>
    <t>SEC46-02 Average</t>
  </si>
  <si>
    <t xml:space="preserve">Line 1 SEC47-01_grt1 </t>
  </si>
  <si>
    <t xml:space="preserve">Line 2 SEC47-01_grt1 </t>
  </si>
  <si>
    <t xml:space="preserve">Line 3 SEC47-01_grt1 </t>
  </si>
  <si>
    <t xml:space="preserve">Line 4 SEC47-01_grt1 </t>
  </si>
  <si>
    <t xml:space="preserve">Line 5 SEC47-01_grt1 </t>
  </si>
  <si>
    <t xml:space="preserve">Line 1 SEC47-01_grt2 </t>
  </si>
  <si>
    <t xml:space="preserve">Line 2 SEC47-01_grt2 </t>
  </si>
  <si>
    <t xml:space="preserve">Line 3 SEC47-01_grt2 </t>
  </si>
  <si>
    <t xml:space="preserve">Line 4 SEC47-01_grt2 </t>
  </si>
  <si>
    <t xml:space="preserve">Line 5 SEC47-01_grt2 </t>
  </si>
  <si>
    <t xml:space="preserve">Line 1 SEC47-01_grt3 </t>
  </si>
  <si>
    <t xml:space="preserve">Line 2 SEC47-01_grt3 </t>
  </si>
  <si>
    <t xml:space="preserve">Line 3 SEC47-01_grt3 </t>
  </si>
  <si>
    <t xml:space="preserve">Line 4 SEC47-01_grt3 </t>
  </si>
  <si>
    <t xml:space="preserve">Line 5 SEC47-01_grt3 </t>
  </si>
  <si>
    <t>SEC47-01 Average</t>
  </si>
  <si>
    <t>Weight Percent Oxide</t>
  </si>
  <si>
    <t>Fe3+</t>
  </si>
  <si>
    <t>XWo = Ca/Ca+Mg+FeT</t>
  </si>
  <si>
    <t>XEn = Mg/Ca+Mg+FeT</t>
  </si>
  <si>
    <t>XFs = FeT/Ca+Mg+FeT</t>
  </si>
  <si>
    <t>Mg/(Mg+Fe)</t>
  </si>
  <si>
    <t xml:space="preserve">Line 1 SEC42-06_cpx1 </t>
  </si>
  <si>
    <t xml:space="preserve">Line 2 SEC42-06_cpx1 </t>
  </si>
  <si>
    <t xml:space="preserve">Line 3 SEC42-06_cpx1 </t>
  </si>
  <si>
    <t xml:space="preserve">Line 4 SEC42-06_cpx1 </t>
  </si>
  <si>
    <t xml:space="preserve">Line 5 SEC42-06_cpx1 </t>
  </si>
  <si>
    <t xml:space="preserve">Line 6 SEC42-06_cpx1 </t>
  </si>
  <si>
    <t xml:space="preserve">Line 7 SEC42-06_cpx1 </t>
  </si>
  <si>
    <t xml:space="preserve">Line 8 SEC42-06_cpx1 </t>
  </si>
  <si>
    <t xml:space="preserve">Line 9 SEC42-06_cpx1 </t>
  </si>
  <si>
    <t xml:space="preserve">Line 10 SEC42-06_cpx1 </t>
  </si>
  <si>
    <t xml:space="preserve">Line 1 SEC42-06_cpx2_core-&gt;rim </t>
  </si>
  <si>
    <t xml:space="preserve">Line 2 SEC42-06_cpx2_core-&gt;rim </t>
  </si>
  <si>
    <t xml:space="preserve">Line 3 SEC42-06_cpx2_core-&gt;rim </t>
  </si>
  <si>
    <t xml:space="preserve">Line 4 SEC42-06_cpx2_core-&gt;rim </t>
  </si>
  <si>
    <t xml:space="preserve">Line 5 SEC42-06_cpx2_core-&gt;rim </t>
  </si>
  <si>
    <t xml:space="preserve">Line 1 43-01_Cpx1 </t>
  </si>
  <si>
    <t xml:space="preserve">Line 2 43-01_Cpx1 </t>
  </si>
  <si>
    <t xml:space="preserve">Line 3 43-01_Cpx1 </t>
  </si>
  <si>
    <t xml:space="preserve">Line 4 43-01_Cpx1 </t>
  </si>
  <si>
    <t xml:space="preserve">Line 5 43-01_Cpx1 </t>
  </si>
  <si>
    <t xml:space="preserve">Line 6 43-01_Cpx1 </t>
  </si>
  <si>
    <t xml:space="preserve">Line 7 43-01_Cpx1 </t>
  </si>
  <si>
    <t xml:space="preserve">Line 8 43-01_Cpx1 </t>
  </si>
  <si>
    <t xml:space="preserve">Line 9 43-01_Cpx1 </t>
  </si>
  <si>
    <t xml:space="preserve">Line 10 43-01_Cpx1 </t>
  </si>
  <si>
    <t>SEC43-01 Average</t>
  </si>
  <si>
    <t xml:space="preserve">Line 1 SEC43-03_omph1 </t>
  </si>
  <si>
    <t xml:space="preserve">Line 2 SEC43-03_omph1 </t>
  </si>
  <si>
    <t xml:space="preserve">Line 3 SEC43-03_omph1 </t>
  </si>
  <si>
    <t xml:space="preserve">Line 4 SEC43-03_omph1 </t>
  </si>
  <si>
    <t xml:space="preserve">Line 5 SEC43-03_omph1 </t>
  </si>
  <si>
    <t xml:space="preserve">Line 6 SEC43-03_omph1 </t>
  </si>
  <si>
    <t xml:space="preserve">Line 7 SEC43-03_omph1 pit @84 </t>
  </si>
  <si>
    <t xml:space="preserve">Line 8 SEC43-03_omph1 </t>
  </si>
  <si>
    <t xml:space="preserve">Line 9 SEC43-03_omph1 </t>
  </si>
  <si>
    <t xml:space="preserve">Line 10 SEC43-03_omph1 </t>
  </si>
  <si>
    <t xml:space="preserve">Line 1 SEC46-01_omph1 </t>
  </si>
  <si>
    <t xml:space="preserve">Line 2 SEC46-01_omph1 </t>
  </si>
  <si>
    <t xml:space="preserve">Line 3 SEC46-01_omph1 </t>
  </si>
  <si>
    <t xml:space="preserve">Line 4 SEC46-01_omph1 </t>
  </si>
  <si>
    <t xml:space="preserve">Line 5 SEC46-01_omph1 </t>
  </si>
  <si>
    <t xml:space="preserve">Line 6 SEC46-01_omph1 </t>
  </si>
  <si>
    <t xml:space="preserve">Line 7 SEC46-01_omph1 </t>
  </si>
  <si>
    <t xml:space="preserve">Line 8 SEC46-01_omph1 </t>
  </si>
  <si>
    <t xml:space="preserve">Line 9 SEC46-01_omph1 </t>
  </si>
  <si>
    <t xml:space="preserve">Line 10 SEC46-01_omph1 </t>
  </si>
  <si>
    <t xml:space="preserve">Line 11 SEC46-01_omph1 </t>
  </si>
  <si>
    <t xml:space="preserve">Line 12 SEC46-01_omph1 </t>
  </si>
  <si>
    <t xml:space="preserve">Line 13 SEC46-01_omph1 </t>
  </si>
  <si>
    <t xml:space="preserve">Line 14 SEC46-01_omph1 </t>
  </si>
  <si>
    <t xml:space="preserve">Line 15 SEC46-01_omph1 </t>
  </si>
  <si>
    <t xml:space="preserve">Line 1 SEC46-01_omph2 </t>
  </si>
  <si>
    <t xml:space="preserve">Line 2 SEC46-01_omph2 </t>
  </si>
  <si>
    <t xml:space="preserve">Line 3 SEC46-01_omph2 </t>
  </si>
  <si>
    <t xml:space="preserve">Line 4 SEC46-01_omph2 </t>
  </si>
  <si>
    <t xml:space="preserve">Line 1 SEC46-02_omph1 </t>
  </si>
  <si>
    <t xml:space="preserve">Line 2 SEC46-02_omph1 </t>
  </si>
  <si>
    <t xml:space="preserve">Line 3 SEC46-02_omph1 </t>
  </si>
  <si>
    <t xml:space="preserve">Line 4 SEC46-02_omph1 </t>
  </si>
  <si>
    <t xml:space="preserve">Line 5 SEC46-02_omph1 </t>
  </si>
  <si>
    <t xml:space="preserve">Line 6 SEC46-02_omph1 </t>
  </si>
  <si>
    <t xml:space="preserve">Line 7 SEC46-02_omph1 </t>
  </si>
  <si>
    <t xml:space="preserve">Line 8 SEC46-02_omph1 </t>
  </si>
  <si>
    <t xml:space="preserve">Line 9 SEC46-02_omph1 </t>
  </si>
  <si>
    <t xml:space="preserve">Line 10 SEC46-02_omph1 </t>
  </si>
  <si>
    <t xml:space="preserve">Line 1 SEC46-02_omph2 </t>
  </si>
  <si>
    <t xml:space="preserve">Line 2 SEC46-02_omph2 </t>
  </si>
  <si>
    <t xml:space="preserve">Line 3 SEC46-02_omph2 </t>
  </si>
  <si>
    <t xml:space="preserve">Line 4 SEC46-02_omph2 </t>
  </si>
  <si>
    <t xml:space="preserve">Line 5 SEC46-02_omph2 </t>
  </si>
  <si>
    <t xml:space="preserve">Line 1 SEC47-01_omph1 </t>
  </si>
  <si>
    <t xml:space="preserve">Line 2 SEC47-01_omph1 </t>
  </si>
  <si>
    <t xml:space="preserve">Line 3 SEC47-01_omph1 </t>
  </si>
  <si>
    <t xml:space="preserve">Line 4 SEC47-01_omph1 </t>
  </si>
  <si>
    <t xml:space="preserve">Line 5 SEC47-01_omph1 </t>
  </si>
  <si>
    <t xml:space="preserve">Line 1 SEC47-01_omph2 </t>
  </si>
  <si>
    <t xml:space="preserve">Line 2 SEC47-01_omph2 </t>
  </si>
  <si>
    <t xml:space="preserve">Line 3 SEC47-01_omph2 </t>
  </si>
  <si>
    <t xml:space="preserve">Line 4 SEC47-01_omph2 </t>
  </si>
  <si>
    <t xml:space="preserve">Line 5 SEC47-01_omph2 </t>
  </si>
  <si>
    <t xml:space="preserve">Weight % </t>
  </si>
  <si>
    <t>Cumulative Dist µm</t>
  </si>
  <si>
    <t xml:space="preserve">   F     </t>
  </si>
  <si>
    <t xml:space="preserve">   Cl    </t>
  </si>
  <si>
    <t>H2O (100 minus sum)</t>
  </si>
  <si>
    <t>F  µg/g</t>
  </si>
  <si>
    <t xml:space="preserve">Line 1 SEC42-06_Phen1 </t>
  </si>
  <si>
    <t xml:space="preserve">Line 2 SEC42-06_Phen1 </t>
  </si>
  <si>
    <t xml:space="preserve">Line 3 SEC42-06_Phen1 </t>
  </si>
  <si>
    <t xml:space="preserve">Line 4 SEC42-06_Phen1 </t>
  </si>
  <si>
    <t xml:space="preserve">Line 5 SEC42-06_Phen1 </t>
  </si>
  <si>
    <t xml:space="preserve">Line 1 43-01_Phen1 </t>
  </si>
  <si>
    <t xml:space="preserve">Line 2 43-01_Phen1 </t>
  </si>
  <si>
    <t xml:space="preserve">Line 3 43-01_Phen1 </t>
  </si>
  <si>
    <t xml:space="preserve">Line 4 43-01_Phen1 </t>
  </si>
  <si>
    <t xml:space="preserve">Line 5 43-01_Phen1 </t>
  </si>
  <si>
    <t xml:space="preserve">Line 6 43-01_Phen1 </t>
  </si>
  <si>
    <t xml:space="preserve">Line 7 43-01_Phen1 </t>
  </si>
  <si>
    <t xml:space="preserve">Line 8 43-01_Phen1 </t>
  </si>
  <si>
    <t xml:space="preserve">Line 9 43-01_Phen1 </t>
  </si>
  <si>
    <t xml:space="preserve">Line 10 43-01_Phen1 </t>
  </si>
  <si>
    <t xml:space="preserve">Line 1 SEC47-01 phen1 </t>
  </si>
  <si>
    <t xml:space="preserve">Line 2 sec47-01 phen1 </t>
  </si>
  <si>
    <t xml:space="preserve">Line 3 sec47-01 phen1 </t>
  </si>
  <si>
    <t xml:space="preserve">Line 4 sec47-01 phen1 </t>
  </si>
  <si>
    <t xml:space="preserve">Line 5 sec47-01 phen1 </t>
  </si>
  <si>
    <t xml:space="preserve">Line 1 SEC47-01 phen2 </t>
  </si>
  <si>
    <t xml:space="preserve">Line 2 SEC47-01 phen2 </t>
  </si>
  <si>
    <t xml:space="preserve">Line 3 SEC47-01 phen2 </t>
  </si>
  <si>
    <t xml:space="preserve">Line 4 SEC47-01 phen2 </t>
  </si>
  <si>
    <t xml:space="preserve">Line 5 SEC47-01 phen2 </t>
  </si>
  <si>
    <t xml:space="preserve">Line 6 SEC47-01 phen2 </t>
  </si>
  <si>
    <t xml:space="preserve">Line 7 SEC47-01 phen2 </t>
  </si>
  <si>
    <t xml:space="preserve">Line 8 SEC47-01 phen2 </t>
  </si>
  <si>
    <t xml:space="preserve">Line 9 SEC47-01 phen2 </t>
  </si>
  <si>
    <t xml:space="preserve">Line 10 SEC47-01 phen2 </t>
  </si>
  <si>
    <t>Weight %</t>
  </si>
  <si>
    <t>H2O</t>
  </si>
  <si>
    <t xml:space="preserve">      F  </t>
  </si>
  <si>
    <t xml:space="preserve">      Cl </t>
  </si>
  <si>
    <t xml:space="preserve">Line 1 SEC42-06_amph1 </t>
  </si>
  <si>
    <t xml:space="preserve">Line 2 SEC42-06_amph1 </t>
  </si>
  <si>
    <t xml:space="preserve">Line 3 SEC42-06_amph1 </t>
  </si>
  <si>
    <t xml:space="preserve">Line 4 SEC42-06_amph1 </t>
  </si>
  <si>
    <t xml:space="preserve">Line 5 SEC42-06_amph1 </t>
  </si>
  <si>
    <t xml:space="preserve">Line 6 SEC42-06_amph1 </t>
  </si>
  <si>
    <t xml:space="preserve">Line 7 SEC42-06_amph1 </t>
  </si>
  <si>
    <t xml:space="preserve">Line 8 SEC42-06_amph1 </t>
  </si>
  <si>
    <t xml:space="preserve">Line 9 SEC42-06_amph1 </t>
  </si>
  <si>
    <t xml:space="preserve">Line 10 SEC42-06_amph1 </t>
  </si>
  <si>
    <t xml:space="preserve">Line 1 43-01_Amph1 </t>
  </si>
  <si>
    <t xml:space="preserve">Line 2 43-01_Amph1 </t>
  </si>
  <si>
    <t xml:space="preserve">Line 3 43-01_Amph1 </t>
  </si>
  <si>
    <t xml:space="preserve">Line 4 43-01_Amph1 </t>
  </si>
  <si>
    <t xml:space="preserve">Line 5 43-01_Amph1 </t>
  </si>
  <si>
    <t xml:space="preserve">Line 6 43-01_Amph1 </t>
  </si>
  <si>
    <t xml:space="preserve">Line 7 43-01_Amph1 </t>
  </si>
  <si>
    <t xml:space="preserve">Line 8 43-01_Amph1 </t>
  </si>
  <si>
    <t xml:space="preserve">Line 9 43-01_Amph1 </t>
  </si>
  <si>
    <t xml:space="preserve">Line 10 43-01_Amph1 </t>
  </si>
  <si>
    <t xml:space="preserve">Line 1 SEC43-03_amph1 </t>
  </si>
  <si>
    <t xml:space="preserve">Line 2 SEC43-03_amph1 </t>
  </si>
  <si>
    <t xml:space="preserve">Line 3 SEC43-03_amph1 </t>
  </si>
  <si>
    <t xml:space="preserve">Line 4 SEC43-03_amph1 </t>
  </si>
  <si>
    <t xml:space="preserve">Line 5 SEC43-03_amph1 </t>
  </si>
  <si>
    <t xml:space="preserve">Line 6 SEC43-03_amph1 </t>
  </si>
  <si>
    <t xml:space="preserve">Line 7 SEC43-03_amph1 </t>
  </si>
  <si>
    <t xml:space="preserve">Line 8 SEC43-03_amph1 </t>
  </si>
  <si>
    <t xml:space="preserve">Line 9 SEC43-03_amph1 </t>
  </si>
  <si>
    <t xml:space="preserve">Line 10 SEC43-03_amph1 </t>
  </si>
  <si>
    <t xml:space="preserve">Line 11 SEC43-03_amph1 </t>
  </si>
  <si>
    <t xml:space="preserve">Line 12 SEC43-03_amph1 </t>
  </si>
  <si>
    <t xml:space="preserve">Line 13 SEC43-03_amph1 </t>
  </si>
  <si>
    <t xml:space="preserve">Line 14 SEC43-03_amph1 </t>
  </si>
  <si>
    <t xml:space="preserve">Line 15 SEC43-03_amph1 </t>
  </si>
  <si>
    <t xml:space="preserve">Line 1 SEC46-01_amph3 </t>
  </si>
  <si>
    <t xml:space="preserve">Line 2 SEC46-01_amph3 </t>
  </si>
  <si>
    <t xml:space="preserve">Line 3 SEC46-01_amph3 </t>
  </si>
  <si>
    <t xml:space="preserve">Line 4 SEC46-01_amph3 </t>
  </si>
  <si>
    <t xml:space="preserve">Line 5 SEC46-01_amph3 </t>
  </si>
  <si>
    <t xml:space="preserve">Line 6 SEC46-01_amph3 </t>
  </si>
  <si>
    <t xml:space="preserve">Line 7 SEC46-01_amph3 </t>
  </si>
  <si>
    <t xml:space="preserve">Line 8 SEC46-01_amph3 </t>
  </si>
  <si>
    <t xml:space="preserve">Line 9 SEC46-01_amph3 </t>
  </si>
  <si>
    <t xml:space="preserve">Line 10 SEC46-01_amph3 </t>
  </si>
  <si>
    <t xml:space="preserve">Line 1 SEC46-01_amph1 </t>
  </si>
  <si>
    <t xml:space="preserve">Line 2 SEC46-01_amph1 </t>
  </si>
  <si>
    <t xml:space="preserve">Line 3 SEC46-01_amph1 </t>
  </si>
  <si>
    <t xml:space="preserve">Line 4 SEC46-01_amph1 </t>
  </si>
  <si>
    <t xml:space="preserve">Line 5 SEC46-01_amph1 </t>
  </si>
  <si>
    <t xml:space="preserve">Line 6 SEC46-01_amph1 </t>
  </si>
  <si>
    <t xml:space="preserve">Line 7 SEC46-01_amph1 </t>
  </si>
  <si>
    <t xml:space="preserve">Line 8 SEC46-01_amph1 </t>
  </si>
  <si>
    <t xml:space="preserve">Line 9 SEC46-01_amph1 </t>
  </si>
  <si>
    <t xml:space="preserve">Line 10 SEC46-01_amph1 </t>
  </si>
  <si>
    <t xml:space="preserve">Line 1 SEC46-02_Amph2 </t>
  </si>
  <si>
    <t xml:space="preserve">Line 2 SEC46-02_Amph2 </t>
  </si>
  <si>
    <t xml:space="preserve">Line 3 SEC46-02_Amph2 </t>
  </si>
  <si>
    <t xml:space="preserve">Line 4 SEC46-02_Amph2 </t>
  </si>
  <si>
    <t xml:space="preserve">Line 5 SEC46-02_Amph2 </t>
  </si>
  <si>
    <t xml:space="preserve">Line 1 SEC46-02_amph3 </t>
  </si>
  <si>
    <t xml:space="preserve">Line 2 SEC46-02_amph3 </t>
  </si>
  <si>
    <t xml:space="preserve">Line 3 SEC46-02_amph3 </t>
  </si>
  <si>
    <t xml:space="preserve">Line 4 SEC46-02_amph3 </t>
  </si>
  <si>
    <t xml:space="preserve">Line 5 SEC46-02_amph3 </t>
  </si>
  <si>
    <t># grains</t>
  </si>
  <si>
    <t># measurements</t>
  </si>
  <si>
    <t xml:space="preserve">   P2O5  </t>
  </si>
  <si>
    <t>OH</t>
  </si>
  <si>
    <t xml:space="preserve">Comment  </t>
  </si>
  <si>
    <t xml:space="preserve">   No. </t>
  </si>
  <si>
    <t>Line 1 SEC46-02_titanite</t>
  </si>
  <si>
    <t>Line 2 SEC46-02_titanite</t>
  </si>
  <si>
    <t>Line 3 SEC46-02_titanite</t>
  </si>
  <si>
    <t>Line 4 SEC46-02_titanite</t>
  </si>
  <si>
    <t>Line 5 SEC46-02_titanite</t>
  </si>
  <si>
    <t xml:space="preserve">Average </t>
  </si>
  <si>
    <t>Intermineral Partition Coefficients (cpx-grt)</t>
  </si>
  <si>
    <t>Intermineral Partition Coefficients (cpx-amph)</t>
  </si>
  <si>
    <t>Intermineral Partition Coefficients (grt-amph)</t>
  </si>
  <si>
    <t>Intermineral Partition Coefficients (amph-phen)</t>
  </si>
  <si>
    <t>Intermineral Partition Coefficients (Cpx-Apt)</t>
  </si>
  <si>
    <t>Intermineral Partition Coefficients (Amph-Apt)</t>
  </si>
  <si>
    <t>Intermineral Partition Coefficients (Cpx-Phen)</t>
  </si>
  <si>
    <t>DF Cpx-Grt</t>
  </si>
  <si>
    <t>DCl Cpx-Grt</t>
  </si>
  <si>
    <t>DOH Cpx-Grt</t>
  </si>
  <si>
    <t>DF Cpx-Amph</t>
  </si>
  <si>
    <t>DCl Cpx-Amph</t>
  </si>
  <si>
    <t>DOH Cpx-Amph</t>
  </si>
  <si>
    <t>DF Grt-Amph</t>
  </si>
  <si>
    <t>DCl Grt-Amph</t>
  </si>
  <si>
    <t>DOH Grt-Amph</t>
  </si>
  <si>
    <t>D F Amph-Phen</t>
  </si>
  <si>
    <t>DCl Amph-Phen</t>
  </si>
  <si>
    <t>D OH Amph-Phen</t>
  </si>
  <si>
    <t>DF Cpx-Apt</t>
  </si>
  <si>
    <t>DCl Cpx-Apt</t>
  </si>
  <si>
    <t>DOH Cpx-Apt</t>
  </si>
  <si>
    <t>DF Amph-Apt</t>
  </si>
  <si>
    <t>DCl Amph-Apt</t>
  </si>
  <si>
    <t>DOH Amph-Apt</t>
  </si>
  <si>
    <t>DF Cpx/Phen</t>
  </si>
  <si>
    <t>DCl Cpx/Phen</t>
  </si>
  <si>
    <t>DOH Cpx/Phen</t>
  </si>
  <si>
    <t>Mean</t>
  </si>
  <si>
    <t>1SD</t>
  </si>
  <si>
    <t xml:space="preserve">Literature </t>
  </si>
  <si>
    <t>Gala.1</t>
  </si>
  <si>
    <t>QE29d.4</t>
  </si>
  <si>
    <t>Gala.4</t>
  </si>
  <si>
    <t>QE29d.3</t>
  </si>
  <si>
    <t>DC58G</t>
  </si>
  <si>
    <t>DC50B</t>
  </si>
  <si>
    <t>DC58L</t>
  </si>
  <si>
    <t>TUR12</t>
  </si>
  <si>
    <t>TUR14A</t>
  </si>
  <si>
    <t>TUR23</t>
  </si>
  <si>
    <t>TUR30</t>
  </si>
  <si>
    <t>TUR31</t>
  </si>
  <si>
    <t>TUR32</t>
  </si>
  <si>
    <t>TUR33</t>
  </si>
  <si>
    <t>Analysis #</t>
  </si>
  <si>
    <t>         F (µg/g)</t>
  </si>
  <si>
    <t>       Cl (µg/g)</t>
  </si>
  <si>
    <t>Yield Corrected to Batch #</t>
  </si>
  <si>
    <t>Corrected for Yield by Batch</t>
  </si>
  <si>
    <t>SEC42-6</t>
  </si>
  <si>
    <t>1SD Pos (yield uncert)</t>
  </si>
  <si>
    <t>1SD Propogated</t>
  </si>
  <si>
    <t>SEC42-6'</t>
  </si>
  <si>
    <t>Std. Dev.</t>
  </si>
  <si>
    <t>F (%)</t>
  </si>
  <si>
    <t>Cl (%)</t>
  </si>
  <si>
    <t>Stdev%</t>
  </si>
  <si>
    <t>SEC43-1</t>
  </si>
  <si>
    <t>SEC43-1'</t>
  </si>
  <si>
    <t>SEC43-3</t>
  </si>
  <si>
    <t>SEC50-01</t>
  </si>
  <si>
    <t>SEC43-3'</t>
  </si>
  <si>
    <t>SEC46-1</t>
  </si>
  <si>
    <t>SEC46-1'</t>
  </si>
  <si>
    <t>SEC46-2</t>
  </si>
  <si>
    <t>SEC46-2'</t>
  </si>
  <si>
    <t>SEC47-1</t>
  </si>
  <si>
    <t>SEC47-1'</t>
  </si>
  <si>
    <t>*apostrophe (') indicates a duplicated sample</t>
  </si>
  <si>
    <t>Standards</t>
  </si>
  <si>
    <t>F ppm</t>
  </si>
  <si>
    <t>Cl ppm</t>
  </si>
  <si>
    <t>JB-2-1</t>
  </si>
  <si>
    <t>JB-2-1, -2, and -3 were prepared with the first pyrohydrolysis group (SEC42-6, 43-1, 43-3, 46-1, 46-2, 47-1)</t>
  </si>
  <si>
    <t>JB-2-2</t>
  </si>
  <si>
    <t>JB-2-3</t>
  </si>
  <si>
    <t>Batch 1 Mean</t>
  </si>
  <si>
    <t>Batch 1 Std</t>
  </si>
  <si>
    <t>Yield Batch 1</t>
  </si>
  <si>
    <t>Yield Std (%)</t>
  </si>
  <si>
    <t>JB-2-9</t>
  </si>
  <si>
    <t>JB-2-9, -11, and -12 were prepared with the second pyrohydrolysis, duplicate group (SEC42-6', 43-1', 43-3', 46-1', 46-2', 47-1')</t>
  </si>
  <si>
    <t>JB-2-11</t>
  </si>
  <si>
    <t>JB-2-12</t>
  </si>
  <si>
    <t>Batch 2 Mean</t>
  </si>
  <si>
    <t>Batch 2 Std</t>
  </si>
  <si>
    <t>Yield Batch 2</t>
  </si>
  <si>
    <t>Average (all)</t>
  </si>
  <si>
    <t>Std. Dev. (all)</t>
  </si>
  <si>
    <t>JB-2**</t>
  </si>
  <si>
    <t>Yield (min)*</t>
  </si>
  <si>
    <t>Yield (max)*</t>
  </si>
  <si>
    <t>Yield (average)</t>
  </si>
  <si>
    <t>STD ALL (average)</t>
  </si>
  <si>
    <r>
      <t>**The Geological Survey of Japan (</t>
    </r>
    <r>
      <rPr>
        <u/>
        <sz val="12"/>
        <color rgb="FF000000"/>
        <rFont val="Adobe Caslon Pro"/>
      </rPr>
      <t>https://gbank.gsj.jp/geostandards/igneous.html</t>
    </r>
    <r>
      <rPr>
        <sz val="12"/>
        <color rgb="FF000000"/>
        <rFont val="Adobe Caslon Pro"/>
        <family val="2"/>
      </rPr>
      <t>) reports the F and Cl concentration of JB-2 as 98.5ppm and 281ppm, respectively.</t>
    </r>
  </si>
  <si>
    <t>Uncertainty (Yield Corrected)</t>
  </si>
  <si>
    <t>1 s.d. (%)</t>
  </si>
  <si>
    <t>Table 1. Halogen abundances by phase (SIMS)</t>
  </si>
  <si>
    <t>Table 2. Calculated mineral modes</t>
  </si>
  <si>
    <t>Grain Mean</t>
  </si>
  <si>
    <t>Grain S.D. (%)</t>
  </si>
  <si>
    <t>F/Cl</t>
  </si>
  <si>
    <t>Intermineral Partition Coefficients (Phen-Apt)</t>
  </si>
  <si>
    <t>DF Phen/Apt</t>
  </si>
  <si>
    <t>DCl Phen/Apt</t>
  </si>
  <si>
    <t>DOH Phen/Apt</t>
  </si>
  <si>
    <t>Cl background corrected (µg/g)</t>
  </si>
  <si>
    <t>OH Error µg/g (2SE Internal, Calibration, Background)</t>
  </si>
  <si>
    <t>Intra-sample Variability</t>
  </si>
  <si>
    <t>F, 1 sigma</t>
  </si>
  <si>
    <t>OH, 1 sigma</t>
  </si>
  <si>
    <t>Cl, 1 sigma</t>
  </si>
  <si>
    <t>Cl/K**</t>
  </si>
  <si>
    <t>Cl/Nb**</t>
  </si>
  <si>
    <t>F/Nd**</t>
  </si>
  <si>
    <t>**Cl and F values from yield corrected pyrohydrolysis, K, Nb, Nd using bulk rock chemistry from John et al. 2010</t>
  </si>
  <si>
    <t>Line 1 SEC47-01 Amph1</t>
  </si>
  <si>
    <t>Line 2 SEC47-01 Amph1</t>
  </si>
  <si>
    <t>Line 3 SEC47-01 Amph1</t>
  </si>
  <si>
    <t>Line 4 SEC47-01 Amph1</t>
  </si>
  <si>
    <t>Line 5 SEC47-01 Amph1</t>
  </si>
  <si>
    <t>Na-Ca</t>
  </si>
  <si>
    <t>katophorite</t>
  </si>
  <si>
    <t>(Na0.584K0.116)Σ0.7 (Ca1.338Na0.609Fe0.045Mn0.007)Σ1.999 (Mg2.3Feii1.463Al1.07FeIII0.092Ti0.071Cr0.004)Σ5 (Si6.602Al1.398)Σ8 O22 ((OH)1.941F0.058Cl0.002)Σ2.001</t>
  </si>
  <si>
    <t>(Na0.575K0.126)Σ0.701 (Ca1.365Na0.596Fe0.034Mn0.006)Σ2.001 (Mg2.437Feii1.257Al1.162Ti0.071FeIII0.069Cr0.004)Σ5 (Si6.519Al1.481)Σ8 O22 ((OH)1.922F0.078)Σ2</t>
  </si>
  <si>
    <t>(Na0.651K0.062)Σ0.713 (Ca1.333Na0.559Fe0.102Mn0.005)Σ1.999 (Mg2.545Feii1.129Al1.064FeIII0.188Ti0.072Cr0.002)Σ5 (Si6.448Al1.552)Σ8 O22 ((OH)1.964F0.035)Σ1.999</t>
  </si>
  <si>
    <t>Ca</t>
  </si>
  <si>
    <t>pargasite</t>
  </si>
  <si>
    <t>(Na0.439K0.071)Σ0.51 (Ca1.538Na0.366Fe0.091Mn0.004)Σ1.999 (Mg3.261Feii0.769Al0.743FeIII0.167Ti0.052Cr0.008)Σ5 (Si6.835Al1.165)Σ8 O22 ((OH)1.986F0.013Cl0.001)Σ2</t>
  </si>
  <si>
    <t>(Na0.483K0.064)Σ0.547 (Ca1.518Na0.422Fe0.057Mn0.003)Σ2 (Mg2.892Feii1.081Al0.868FeIII0.106Ti0.049Cr0.005)Σ5.001 (Si6.798Al1.202)Σ8 O22 ((OH)1.987F0.013Cl0.001)Σ2.001</t>
  </si>
  <si>
    <t>winchite</t>
  </si>
  <si>
    <t>(Na0.449K0.047)Σ0.496 (Ca1.182Na0.714Fe0.092Mn0.012)Σ2 (Mg2.512Feii1.369Al0.901FeIII0.181Ti0.03Cr0.007)Σ5 (Si7.07Al0.93)Σ8 O22 ((OH)1.893F0.106Cl0.001)Σ2</t>
  </si>
  <si>
    <t>Species</t>
  </si>
  <si>
    <t>Formula</t>
  </si>
  <si>
    <t>Subgroup of (OH, F, Cl)</t>
  </si>
  <si>
    <t>Calculated using Locock 2014 Workbook</t>
  </si>
  <si>
    <t>Evidence for fluid interaction, minor retrogression</t>
  </si>
  <si>
    <t>Table 3. Halogen bulk rock abundances, ratios</t>
  </si>
  <si>
    <t>Supplementary Table 1. Garnet major element composition</t>
  </si>
  <si>
    <t>Supplementary Table 2. Omphacite major element composition</t>
  </si>
  <si>
    <t>Supplementary Table 3. Phengite major element composition</t>
  </si>
  <si>
    <t>Supplementary Table 4. Amphibole major element composition</t>
  </si>
  <si>
    <t>Supplementary Table 5. Apatite Compositions (EMPA)</t>
  </si>
  <si>
    <t>Supplementary Table 6. Titanite major element composition (EMPA)</t>
  </si>
  <si>
    <t>Supplementary Table 7. Halogen intra-grain profiles (SIMS)</t>
  </si>
  <si>
    <t>Supplementary Table 8. Intermineral partition coefficients</t>
  </si>
  <si>
    <t>Supplementary Table 9. Pyrohydrolysis raw data and reference material replicates</t>
  </si>
  <si>
    <t>NAMs (Grt+Cpx+Qtz)</t>
  </si>
  <si>
    <t>Values in parenthesis represent 1 sigma uncertainty</t>
  </si>
  <si>
    <t>0.021(2)</t>
  </si>
  <si>
    <t>0.0050(5)</t>
  </si>
  <si>
    <t>0.015(2)</t>
  </si>
  <si>
    <t>0.0040(4)</t>
  </si>
  <si>
    <t>0.045(4)</t>
  </si>
  <si>
    <t>0.010(1)</t>
  </si>
  <si>
    <t>0.018(2)</t>
  </si>
  <si>
    <t>0.0030(3)</t>
  </si>
  <si>
    <t>0.016(2)</t>
  </si>
  <si>
    <t>0.0025(3)</t>
  </si>
  <si>
    <t>0.499(31)</t>
  </si>
  <si>
    <t>0.406(31)</t>
  </si>
  <si>
    <t>0.044(4)</t>
  </si>
  <si>
    <t>0.02(1)</t>
  </si>
  <si>
    <t>0.248(22)</t>
  </si>
  <si>
    <t>0.346(27)</t>
  </si>
  <si>
    <t>0.358(27)</t>
  </si>
  <si>
    <t>0.456(28)</t>
  </si>
  <si>
    <t>0.229(21)</t>
  </si>
  <si>
    <t>0.297(25)</t>
  </si>
  <si>
    <t>0.378(28)</t>
  </si>
  <si>
    <t>0.416(28)</t>
  </si>
  <si>
    <t>0.099(10)</t>
  </si>
  <si>
    <t>0.384(30)</t>
  </si>
  <si>
    <t>0.524(31)</t>
  </si>
  <si>
    <t>0.421(32)</t>
  </si>
  <si>
    <t>0.534(32)</t>
  </si>
  <si>
    <t>0.017(2)</t>
  </si>
  <si>
    <t>0.087(2)</t>
  </si>
  <si>
    <t>Grain boundary calculations with sims spot size of 3.8µm^2</t>
  </si>
  <si>
    <t>3.8µm</t>
  </si>
  <si>
    <t>Method 1 Est Phi, GB Width</t>
  </si>
  <si>
    <t>Sims Spot Size (µm)</t>
  </si>
  <si>
    <t xml:space="preserve">Dolomite </t>
  </si>
  <si>
    <t>Phi</t>
  </si>
  <si>
    <t>Increments of 10x</t>
  </si>
  <si>
    <t>Area (µm)</t>
  </si>
  <si>
    <t>Ratio</t>
  </si>
  <si>
    <t>CL GB measured µg/g</t>
  </si>
  <si>
    <t>Calc Cl GB</t>
  </si>
  <si>
    <t>Grain boundary thickness µm</t>
  </si>
  <si>
    <t>Cl GB µg/g</t>
  </si>
  <si>
    <t>3nm</t>
  </si>
  <si>
    <t>Increments of 5x</t>
  </si>
  <si>
    <t>3.8 µm</t>
  </si>
  <si>
    <t>5nmx3.8µm</t>
  </si>
  <si>
    <t>Turcotte and Schubert, Geodynamics 1982</t>
  </si>
  <si>
    <t xml:space="preserve">delta </t>
  </si>
  <si>
    <t>b</t>
  </si>
  <si>
    <t>µm</t>
  </si>
  <si>
    <t>Grain Size µm</t>
  </si>
  <si>
    <t>%</t>
  </si>
  <si>
    <t>Cl GB contribution (%)</t>
  </si>
  <si>
    <t>Delta µm</t>
  </si>
  <si>
    <t>GB Cl contribution µg/g</t>
  </si>
  <si>
    <t>Method 2 Calc Phi from GB Width</t>
  </si>
  <si>
    <t>1nm</t>
  </si>
  <si>
    <t>5nm</t>
  </si>
  <si>
    <t>25nm</t>
  </si>
  <si>
    <t>125nm</t>
  </si>
  <si>
    <t>625nm</t>
  </si>
  <si>
    <t>3.125µm</t>
  </si>
  <si>
    <t>15.625µm</t>
  </si>
  <si>
    <t>78.125µm</t>
  </si>
  <si>
    <t>390.625µm</t>
  </si>
  <si>
    <t>Turcotte and Schuber 2002</t>
  </si>
  <si>
    <t>Supplementary Table 10. Grain Boundary Calculations</t>
  </si>
  <si>
    <t>American Mineralogist: March 2020 Deposit AM-20-36994</t>
  </si>
  <si>
    <t>URANN ET AL.: HALOGENS IN ECLOGITES, A SIMS PERSPECTIVE (RASPAS, ECUADOR)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</si>
</sst>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(* #,##0.00_);_(* \(#,##0.00\);_(* &quot;-&quot;??_);_(@_)"/>
    <numFmt numFmtId="164" formatCode="0.000"/>
    <numFmt numFmtId="165" formatCode="0.0"/>
    <numFmt numFmtId="166" formatCode="0.000%"/>
    <numFmt numFmtId="167" formatCode="0.0%"/>
    <numFmt numFmtId="168" formatCode="_(* #,##0_);_(* \(#,##0\);_(* &quot;-&quot;??_);_(@_)"/>
    <numFmt numFmtId="169" formatCode="0.0000"/>
    <numFmt numFmtId="170" formatCode="0.00000"/>
    <numFmt numFmtId="171" formatCode="_(* #,##0.000_);_(* \(#,##0.000\);_(* &quot;-&quot;??_);_(@_)"/>
    <numFmt numFmtId="172" formatCode="_(* #,##0.0000_);_(* \(#,##0.0000\);_(* &quot;-&quot;??_);_(@_)"/>
    <numFmt numFmtId="173" formatCode="0.00000%"/>
  </numFmts>
  <fonts count="19" x14ac:knownFonts="1">
    <font>
      <sz val="12"/>
      <color theme="1"/>
      <name val="Adobe Caslon Pro"/>
      <family val="2"/>
    </font>
    <font>
      <sz val="12"/>
      <color theme="1"/>
      <name val="Adobe Caslon Pro"/>
      <family val="2"/>
    </font>
    <font>
      <b/>
      <sz val="12"/>
      <color theme="1"/>
      <name val="Adobe Caslon Pro"/>
      <family val="2"/>
    </font>
    <font>
      <sz val="12"/>
      <color rgb="FF000000"/>
      <name val="Adobe Caslon Pro"/>
      <family val="2"/>
    </font>
    <font>
      <b/>
      <sz val="16"/>
      <color theme="1"/>
      <name val="Adobe Caslon Pro"/>
    </font>
    <font>
      <sz val="12"/>
      <name val="Adobe Caslon Pro"/>
    </font>
    <font>
      <b/>
      <sz val="10"/>
      <name val="Adobe Caslon Pro"/>
    </font>
    <font>
      <sz val="10"/>
      <name val="Adobe Caslon Pro"/>
    </font>
    <font>
      <b/>
      <sz val="12"/>
      <name val="Adobe Caslon Pro"/>
    </font>
    <font>
      <sz val="11"/>
      <color rgb="FF000000"/>
      <name val="Adobe Caslon Pro"/>
    </font>
    <font>
      <b/>
      <sz val="12"/>
      <color rgb="FF000000"/>
      <name val="Adobe Caslon Pro"/>
    </font>
    <font>
      <b/>
      <sz val="11"/>
      <color rgb="FF000000"/>
      <name val="Adobe Caslon Pro"/>
    </font>
    <font>
      <sz val="11"/>
      <name val="Adobe Caslon Pro"/>
    </font>
    <font>
      <u/>
      <sz val="12"/>
      <color rgb="FF000000"/>
      <name val="Adobe Caslon Pro"/>
    </font>
    <font>
      <u/>
      <sz val="12"/>
      <color theme="10"/>
      <name val="Adobe Caslon Pro"/>
      <family val="2"/>
    </font>
    <font>
      <u/>
      <sz val="12"/>
      <color theme="11"/>
      <name val="Adobe Caslon Pro"/>
      <family val="2"/>
    </font>
    <font>
      <sz val="8"/>
      <name val="Adobe Caslon Pro"/>
      <family val="2"/>
    </font>
    <font>
      <sz val="12"/>
      <color theme="1"/>
      <name val="Times New Roman"/>
      <family val="1"/>
    </font>
    <font>
      <sz val="12"/>
      <color rgb="FF000000"/>
      <name val="Lucida Grande"/>
      <family val="2"/>
    </font>
  </fonts>
  <fills count="10">
    <fill>
      <patternFill patternType="none"/>
    </fill>
    <fill>
      <patternFill patternType="gray125"/>
    </fill>
    <fill>
      <patternFill patternType="solid">
        <fgColor theme="9" tint="0.39997558519241921"/>
        <bgColor rgb="FF000000"/>
      </patternFill>
    </fill>
    <fill>
      <patternFill patternType="solid">
        <fgColor theme="6"/>
        <bgColor rgb="FF000000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BFBFB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</borders>
  <cellStyleXfs count="18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</cellStyleXfs>
  <cellXfs count="246">
    <xf numFmtId="0" fontId="0" fillId="0" borderId="0" xfId="0"/>
    <xf numFmtId="0" fontId="3" fillId="0" borderId="0" xfId="0" applyFont="1"/>
    <xf numFmtId="0" fontId="0" fillId="0" borderId="0" xfId="0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66" fontId="0" fillId="0" borderId="0" xfId="2" applyNumberFormat="1" applyFont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167" fontId="0" fillId="0" borderId="0" xfId="2" applyNumberFormat="1" applyFont="1" applyAlignment="1">
      <alignment horizontal="center" vertical="center" wrapText="1"/>
    </xf>
    <xf numFmtId="167" fontId="5" fillId="0" borderId="0" xfId="2" applyNumberFormat="1" applyFont="1" applyAlignment="1">
      <alignment horizontal="center" vertical="center" wrapText="1"/>
    </xf>
    <xf numFmtId="167" fontId="0" fillId="0" borderId="0" xfId="2" applyNumberFormat="1" applyFont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 shrinkToFit="1"/>
    </xf>
    <xf numFmtId="167" fontId="0" fillId="0" borderId="0" xfId="2" applyNumberFormat="1" applyFont="1" applyAlignment="1">
      <alignment horizontal="center" vertical="center" shrinkToFit="1"/>
    </xf>
    <xf numFmtId="0" fontId="0" fillId="0" borderId="0" xfId="0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9" fontId="0" fillId="0" borderId="0" xfId="2" applyFont="1" applyBorder="1" applyAlignment="1">
      <alignment horizontal="center" vertical="center"/>
    </xf>
    <xf numFmtId="9" fontId="0" fillId="0" borderId="0" xfId="2" applyFont="1" applyAlignment="1">
      <alignment horizontal="center" vertical="center"/>
    </xf>
    <xf numFmtId="43" fontId="0" fillId="0" borderId="0" xfId="1" applyFont="1" applyBorder="1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left" vertical="center"/>
    </xf>
    <xf numFmtId="2" fontId="0" fillId="0" borderId="0" xfId="0" applyNumberFormat="1" applyAlignment="1">
      <alignment horizontal="center" vertical="center" wrapText="1" shrinkToFit="1"/>
    </xf>
    <xf numFmtId="2" fontId="0" fillId="0" borderId="0" xfId="0" applyNumberFormat="1" applyAlignment="1">
      <alignment horizontal="center" vertical="center" shrinkToFit="1"/>
    </xf>
    <xf numFmtId="0" fontId="0" fillId="0" borderId="0" xfId="0" applyFont="1" applyFill="1" applyAlignment="1">
      <alignment horizontal="center" vertical="center" shrinkToFit="1"/>
    </xf>
    <xf numFmtId="2" fontId="0" fillId="0" borderId="0" xfId="0" applyNumberFormat="1" applyFont="1" applyFill="1" applyAlignment="1">
      <alignment horizontal="center" vertical="center" shrinkToFit="1"/>
    </xf>
    <xf numFmtId="0" fontId="0" fillId="0" borderId="0" xfId="0" applyFill="1"/>
    <xf numFmtId="165" fontId="2" fillId="0" borderId="0" xfId="0" applyNumberFormat="1" applyFont="1" applyFill="1"/>
    <xf numFmtId="165" fontId="0" fillId="0" borderId="0" xfId="0" applyNumberFormat="1" applyFill="1"/>
    <xf numFmtId="0" fontId="5" fillId="0" borderId="0" xfId="0" applyFont="1" applyFill="1"/>
    <xf numFmtId="165" fontId="5" fillId="0" borderId="0" xfId="0" applyNumberFormat="1" applyFont="1" applyFill="1"/>
    <xf numFmtId="165" fontId="8" fillId="0" borderId="0" xfId="0" applyNumberFormat="1" applyFont="1" applyFill="1"/>
    <xf numFmtId="2" fontId="0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 shrinkToFit="1"/>
    </xf>
    <xf numFmtId="0" fontId="0" fillId="0" borderId="0" xfId="0" applyFont="1" applyFill="1" applyAlignment="1">
      <alignment vertical="center" shrinkToFit="1"/>
    </xf>
    <xf numFmtId="0" fontId="0" fillId="0" borderId="0" xfId="0" applyAlignment="1">
      <alignment horizontal="center" vertical="center" wrapText="1" shrinkToFit="1"/>
    </xf>
    <xf numFmtId="164" fontId="0" fillId="0" borderId="0" xfId="0" applyNumberFormat="1" applyAlignment="1">
      <alignment horizontal="center" vertical="center" shrinkToFit="1"/>
    </xf>
    <xf numFmtId="164" fontId="0" fillId="0" borderId="0" xfId="0" applyNumberFormat="1"/>
    <xf numFmtId="2" fontId="0" fillId="0" borderId="0" xfId="0" applyNumberFormat="1"/>
    <xf numFmtId="169" fontId="0" fillId="0" borderId="0" xfId="0" applyNumberFormat="1"/>
    <xf numFmtId="1" fontId="0" fillId="0" borderId="0" xfId="0" applyNumberFormat="1" applyAlignment="1">
      <alignment horizontal="center" vertical="center" wrapText="1" shrinkToFit="1"/>
    </xf>
    <xf numFmtId="9" fontId="0" fillId="0" borderId="0" xfId="2" applyFont="1" applyAlignment="1">
      <alignment horizontal="center" vertical="center" shrinkToFi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 wrapText="1"/>
    </xf>
    <xf numFmtId="2" fontId="3" fillId="0" borderId="9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 vertical="center"/>
    </xf>
    <xf numFmtId="1" fontId="9" fillId="0" borderId="0" xfId="0" applyNumberFormat="1" applyFont="1" applyAlignment="1">
      <alignment horizontal="center" vertical="center"/>
    </xf>
    <xf numFmtId="9" fontId="0" fillId="0" borderId="0" xfId="2" applyFont="1" applyAlignment="1">
      <alignment horizontal="center" vertical="center" wrapText="1"/>
    </xf>
    <xf numFmtId="171" fontId="0" fillId="0" borderId="0" xfId="1" applyNumberFormat="1" applyFont="1" applyAlignment="1">
      <alignment horizontal="center" vertical="center" wrapText="1"/>
    </xf>
    <xf numFmtId="172" fontId="0" fillId="0" borderId="0" xfId="1" applyNumberFormat="1" applyFont="1" applyAlignment="1">
      <alignment horizontal="center" vertical="center" wrapText="1"/>
    </xf>
    <xf numFmtId="0" fontId="0" fillId="0" borderId="0" xfId="0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9" fontId="0" fillId="0" borderId="0" xfId="2" applyNumberFormat="1" applyFont="1" applyAlignment="1">
      <alignment horizontal="center" vertical="center" shrinkToFit="1"/>
    </xf>
    <xf numFmtId="165" fontId="0" fillId="0" borderId="0" xfId="0" applyNumberFormat="1"/>
    <xf numFmtId="173" fontId="0" fillId="0" borderId="0" xfId="2" applyNumberFormat="1" applyFont="1"/>
    <xf numFmtId="11" fontId="0" fillId="0" borderId="0" xfId="0" applyNumberFormat="1"/>
    <xf numFmtId="43" fontId="0" fillId="0" borderId="0" xfId="1" applyFont="1"/>
    <xf numFmtId="166" fontId="0" fillId="0" borderId="0" xfId="2" applyNumberFormat="1" applyFont="1"/>
    <xf numFmtId="0" fontId="0" fillId="0" borderId="0" xfId="0" applyFont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1" xfId="0" applyFont="1" applyBorder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1" fontId="0" fillId="0" borderId="0" xfId="3" applyNumberFormat="1" applyFont="1" applyAlignment="1">
      <alignment horizontal="center" vertical="center"/>
    </xf>
    <xf numFmtId="165" fontId="0" fillId="0" borderId="0" xfId="3" applyNumberFormat="1" applyFont="1" applyAlignment="1">
      <alignment horizontal="center" vertical="center"/>
    </xf>
    <xf numFmtId="1" fontId="5" fillId="0" borderId="0" xfId="0" applyNumberFormat="1" applyFont="1" applyFill="1" applyBorder="1" applyAlignment="1">
      <alignment horizontal="center"/>
    </xf>
    <xf numFmtId="165" fontId="5" fillId="0" borderId="0" xfId="0" applyNumberFormat="1" applyFont="1" applyFill="1" applyBorder="1" applyAlignment="1">
      <alignment horizontal="center"/>
    </xf>
    <xf numFmtId="169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horizontal="center" vertical="center"/>
    </xf>
    <xf numFmtId="1" fontId="0" fillId="0" borderId="0" xfId="0" applyNumberFormat="1" applyFont="1" applyFill="1" applyBorder="1" applyAlignment="1">
      <alignment horizontal="center"/>
    </xf>
    <xf numFmtId="165" fontId="0" fillId="0" borderId="0" xfId="0" applyNumberFormat="1" applyFont="1" applyFill="1" applyBorder="1" applyAlignment="1">
      <alignment horizontal="center"/>
    </xf>
    <xf numFmtId="0" fontId="0" fillId="0" borderId="0" xfId="0" applyFont="1" applyAlignment="1">
      <alignment horizontal="center" vertical="center" wrapText="1"/>
    </xf>
    <xf numFmtId="164" fontId="0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0" fillId="8" borderId="0" xfId="0" applyFill="1"/>
    <xf numFmtId="0" fontId="0" fillId="9" borderId="0" xfId="0" applyFill="1"/>
    <xf numFmtId="11" fontId="0" fillId="0" borderId="0" xfId="0" applyNumberFormat="1" applyAlignment="1">
      <alignment shrinkToFit="1"/>
    </xf>
    <xf numFmtId="170" fontId="0" fillId="0" borderId="0" xfId="0" applyNumberFormat="1"/>
    <xf numFmtId="0" fontId="0" fillId="0" borderId="0" xfId="0" applyNumberFormat="1"/>
    <xf numFmtId="11" fontId="0" fillId="0" borderId="0" xfId="0" applyNumberFormat="1" applyFill="1"/>
    <xf numFmtId="0" fontId="0" fillId="0" borderId="0" xfId="0" applyFill="1" applyAlignment="1">
      <alignment horizontal="center"/>
    </xf>
    <xf numFmtId="43" fontId="0" fillId="0" borderId="0" xfId="1" applyNumberFormat="1" applyFon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Font="1" applyFill="1" applyAlignment="1">
      <alignment horizontal="center" vertical="center" shrinkToFit="1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 vertical="center" shrinkToFit="1"/>
    </xf>
    <xf numFmtId="0" fontId="0" fillId="0" borderId="1" xfId="0" applyFont="1" applyFill="1" applyBorder="1" applyAlignment="1">
      <alignment horizontal="center" vertical="center"/>
    </xf>
    <xf numFmtId="0" fontId="0" fillId="0" borderId="10" xfId="0" applyFont="1" applyFill="1" applyBorder="1" applyAlignment="1">
      <alignment horizontal="center" vertical="center" shrinkToFit="1"/>
    </xf>
    <xf numFmtId="0" fontId="0" fillId="0" borderId="11" xfId="0" applyFont="1" applyFill="1" applyBorder="1" applyAlignment="1">
      <alignment horizontal="center" vertical="center" shrinkToFit="1"/>
    </xf>
    <xf numFmtId="0" fontId="0" fillId="0" borderId="0" xfId="0" applyFont="1" applyFill="1" applyAlignment="1">
      <alignment horizontal="center" vertical="center" shrinkToFit="1"/>
    </xf>
    <xf numFmtId="0" fontId="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wrapText="1"/>
    </xf>
    <xf numFmtId="0" fontId="3" fillId="0" borderId="0" xfId="0" applyFont="1" applyAlignment="1">
      <alignment horizontal="left" vertical="center" wrapText="1"/>
    </xf>
    <xf numFmtId="2" fontId="4" fillId="0" borderId="0" xfId="0" applyNumberFormat="1" applyFont="1" applyAlignment="1">
      <alignment horizontal="center" vertical="center" wrapText="1"/>
    </xf>
    <xf numFmtId="2" fontId="0" fillId="0" borderId="0" xfId="0" applyNumberFormat="1" applyAlignment="1">
      <alignment horizontal="center" vertical="center" wrapText="1"/>
    </xf>
    <xf numFmtId="1" fontId="6" fillId="0" borderId="0" xfId="0" applyNumberFormat="1" applyFont="1" applyFill="1" applyAlignment="1">
      <alignment horizontal="center" vertical="center" wrapText="1" shrinkToFit="1"/>
    </xf>
    <xf numFmtId="167" fontId="6" fillId="0" borderId="0" xfId="2" applyNumberFormat="1" applyFont="1" applyFill="1" applyAlignment="1">
      <alignment horizontal="center" vertical="center" wrapText="1" shrinkToFit="1"/>
    </xf>
    <xf numFmtId="1" fontId="0" fillId="0" borderId="0" xfId="0" applyNumberFormat="1" applyFont="1" applyFill="1" applyAlignment="1">
      <alignment horizontal="center" vertical="center" wrapText="1" shrinkToFit="1"/>
    </xf>
    <xf numFmtId="167" fontId="5" fillId="0" borderId="0" xfId="2" applyNumberFormat="1" applyFont="1" applyFill="1" applyAlignment="1">
      <alignment horizontal="center" vertical="center" wrapText="1" shrinkToFit="1"/>
    </xf>
    <xf numFmtId="167" fontId="0" fillId="0" borderId="0" xfId="2" applyNumberFormat="1" applyFont="1" applyFill="1" applyAlignment="1">
      <alignment horizontal="center" vertical="center" wrapText="1" shrinkToFit="1"/>
    </xf>
    <xf numFmtId="165" fontId="0" fillId="0" borderId="0" xfId="1" applyNumberFormat="1" applyFont="1" applyFill="1" applyAlignment="1">
      <alignment horizontal="center" vertical="center" wrapText="1" shrinkToFit="1"/>
    </xf>
    <xf numFmtId="43" fontId="6" fillId="0" borderId="0" xfId="1" applyFont="1" applyFill="1" applyAlignment="1">
      <alignment horizontal="center" vertical="center" wrapText="1" shrinkToFit="1"/>
    </xf>
    <xf numFmtId="43" fontId="0" fillId="0" borderId="0" xfId="1" applyFont="1" applyAlignment="1">
      <alignment horizontal="center" vertical="center" wrapText="1"/>
    </xf>
    <xf numFmtId="1" fontId="7" fillId="0" borderId="0" xfId="0" applyNumberFormat="1" applyFont="1" applyFill="1" applyAlignment="1">
      <alignment horizontal="center" vertical="center" wrapText="1" shrinkToFit="1"/>
    </xf>
    <xf numFmtId="0" fontId="3" fillId="0" borderId="0" xfId="0" applyFont="1" applyAlignment="1">
      <alignment horizontal="left" vertical="center" wrapText="1"/>
    </xf>
    <xf numFmtId="0" fontId="18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0" fillId="0" borderId="0" xfId="0" applyFill="1" applyAlignment="1">
      <alignment horizontal="center" vertical="center" wrapText="1" shrinkToFit="1"/>
    </xf>
    <xf numFmtId="0" fontId="0" fillId="0" borderId="0" xfId="0" applyFont="1" applyAlignment="1">
      <alignment horizontal="center" vertical="center" wrapText="1" shrinkToFit="1"/>
    </xf>
    <xf numFmtId="0" fontId="0" fillId="0" borderId="0" xfId="0" applyFont="1" applyAlignment="1">
      <alignment horizontal="center" vertical="center" wrapText="1" shrinkToFit="1"/>
    </xf>
    <xf numFmtId="0" fontId="0" fillId="0" borderId="0" xfId="0" applyFont="1" applyBorder="1" applyAlignment="1">
      <alignment horizontal="center" vertical="center" wrapText="1" shrinkToFit="1"/>
    </xf>
    <xf numFmtId="0" fontId="0" fillId="0" borderId="0" xfId="0" applyFont="1" applyFill="1" applyAlignment="1">
      <alignment horizontal="center" vertical="center" wrapText="1" shrinkToFit="1"/>
    </xf>
    <xf numFmtId="0" fontId="5" fillId="0" borderId="0" xfId="0" applyFont="1" applyBorder="1" applyAlignment="1">
      <alignment horizontal="center" vertical="center" wrapText="1" shrinkToFit="1"/>
    </xf>
    <xf numFmtId="0" fontId="5" fillId="0" borderId="0" xfId="0" applyFont="1" applyFill="1" applyBorder="1" applyAlignment="1">
      <alignment horizontal="center" vertical="center" wrapText="1" shrinkToFit="1"/>
    </xf>
    <xf numFmtId="1" fontId="0" fillId="0" borderId="0" xfId="0" applyNumberFormat="1" applyFont="1" applyAlignment="1">
      <alignment horizontal="center" vertical="center" wrapText="1" shrinkToFit="1"/>
    </xf>
    <xf numFmtId="2" fontId="0" fillId="0" borderId="0" xfId="0" applyNumberFormat="1" applyFont="1" applyFill="1" applyAlignment="1">
      <alignment horizontal="center" vertical="center" wrapText="1" shrinkToFit="1"/>
    </xf>
    <xf numFmtId="2" fontId="0" fillId="0" borderId="0" xfId="0" applyNumberFormat="1" applyFont="1" applyBorder="1" applyAlignment="1">
      <alignment horizontal="center" vertical="center" wrapText="1" shrinkToFit="1"/>
    </xf>
    <xf numFmtId="2" fontId="0" fillId="0" borderId="0" xfId="0" applyNumberFormat="1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2" fontId="0" fillId="0" borderId="0" xfId="0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 shrinkToFit="1"/>
    </xf>
    <xf numFmtId="2" fontId="0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 shrinkToFit="1"/>
    </xf>
    <xf numFmtId="0" fontId="0" fillId="0" borderId="0" xfId="0" applyAlignment="1">
      <alignment horizontal="center" vertical="center" wrapText="1" shrinkToFit="1"/>
    </xf>
    <xf numFmtId="0" fontId="0" fillId="0" borderId="0" xfId="0" applyAlignment="1">
      <alignment vertical="center" wrapText="1" shrinkToFit="1"/>
    </xf>
    <xf numFmtId="43" fontId="0" fillId="0" borderId="0" xfId="1" applyFont="1" applyAlignment="1">
      <alignment vertical="center" wrapText="1" shrinkToFit="1"/>
    </xf>
    <xf numFmtId="1" fontId="0" fillId="0" borderId="0" xfId="0" applyNumberFormat="1" applyAlignment="1">
      <alignment vertical="center" wrapText="1" shrinkToFit="1"/>
    </xf>
    <xf numFmtId="2" fontId="0" fillId="0" borderId="0" xfId="0" applyNumberFormat="1" applyAlignment="1">
      <alignment vertical="center" wrapText="1" shrinkToFit="1"/>
    </xf>
    <xf numFmtId="164" fontId="0" fillId="0" borderId="0" xfId="0" applyNumberFormat="1" applyAlignment="1">
      <alignment vertical="center" wrapText="1" shrinkToFit="1"/>
    </xf>
    <xf numFmtId="43" fontId="0" fillId="0" borderId="0" xfId="1" applyFont="1" applyFill="1" applyAlignment="1">
      <alignment vertical="center" wrapText="1" shrinkToFit="1"/>
    </xf>
    <xf numFmtId="2" fontId="0" fillId="0" borderId="0" xfId="0" applyNumberFormat="1" applyFill="1" applyAlignment="1">
      <alignment vertical="center" wrapText="1" shrinkToFit="1"/>
    </xf>
    <xf numFmtId="164" fontId="0" fillId="0" borderId="0" xfId="0" applyNumberFormat="1" applyFill="1" applyAlignment="1">
      <alignment vertical="center" wrapText="1" shrinkToFit="1"/>
    </xf>
    <xf numFmtId="0" fontId="0" fillId="0" borderId="0" xfId="0" applyAlignment="1">
      <alignment vertical="center" wrapText="1"/>
    </xf>
    <xf numFmtId="1" fontId="0" fillId="0" borderId="0" xfId="0" applyNumberFormat="1" applyAlignment="1">
      <alignment vertical="center" wrapText="1"/>
    </xf>
    <xf numFmtId="43" fontId="0" fillId="0" borderId="0" xfId="1" applyFont="1" applyAlignment="1">
      <alignment vertical="center" wrapText="1"/>
    </xf>
    <xf numFmtId="2" fontId="0" fillId="0" borderId="0" xfId="0" applyNumberFormat="1" applyAlignment="1">
      <alignment vertical="center" wrapText="1"/>
    </xf>
    <xf numFmtId="164" fontId="0" fillId="0" borderId="0" xfId="0" applyNumberFormat="1" applyAlignment="1">
      <alignment vertical="center" wrapText="1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 wrapText="1" shrinkToFit="1"/>
    </xf>
    <xf numFmtId="0" fontId="2" fillId="0" borderId="0" xfId="0" applyFont="1" applyAlignment="1">
      <alignment horizontal="center" vertical="center" wrapText="1" shrinkToFit="1"/>
    </xf>
    <xf numFmtId="9" fontId="0" fillId="0" borderId="0" xfId="2" applyFont="1" applyAlignment="1">
      <alignment horizontal="center" vertical="center" wrapText="1" shrinkToFit="1"/>
    </xf>
    <xf numFmtId="167" fontId="0" fillId="0" borderId="0" xfId="2" applyNumberFormat="1" applyFont="1" applyAlignment="1">
      <alignment horizontal="center" vertical="center" wrapText="1" shrinkToFit="1"/>
    </xf>
    <xf numFmtId="1" fontId="0" fillId="0" borderId="0" xfId="0" applyNumberFormat="1" applyFont="1" applyAlignment="1">
      <alignment horizontal="center" wrapText="1"/>
    </xf>
    <xf numFmtId="165" fontId="0" fillId="0" borderId="0" xfId="0" applyNumberFormat="1" applyFont="1" applyAlignment="1">
      <alignment horizontal="center" vertical="center" wrapText="1" shrinkToFit="1"/>
    </xf>
    <xf numFmtId="165" fontId="0" fillId="0" borderId="0" xfId="0" applyNumberFormat="1" applyAlignment="1">
      <alignment horizontal="center" vertical="center" wrapText="1" shrinkToFit="1"/>
    </xf>
    <xf numFmtId="164" fontId="0" fillId="0" borderId="0" xfId="0" applyNumberFormat="1" applyAlignment="1">
      <alignment horizontal="center" vertical="center" wrapText="1" shrinkToFit="1"/>
    </xf>
    <xf numFmtId="169" fontId="0" fillId="0" borderId="0" xfId="0" applyNumberFormat="1" applyAlignment="1">
      <alignment horizontal="center" vertical="center" wrapText="1" shrinkToFit="1"/>
    </xf>
    <xf numFmtId="43" fontId="0" fillId="0" borderId="0" xfId="1" applyFont="1" applyAlignment="1">
      <alignment horizontal="center" vertical="center" wrapText="1" shrinkToFit="1"/>
    </xf>
    <xf numFmtId="9" fontId="2" fillId="0" borderId="0" xfId="2" applyFont="1" applyAlignment="1">
      <alignment horizontal="center" vertical="center" wrapText="1" shrinkToFit="1"/>
    </xf>
    <xf numFmtId="9" fontId="0" fillId="0" borderId="0" xfId="0" applyNumberFormat="1" applyAlignment="1">
      <alignment horizontal="center" vertical="center" wrapText="1" shrinkToFit="1"/>
    </xf>
    <xf numFmtId="9" fontId="0" fillId="0" borderId="0" xfId="0" applyNumberFormat="1" applyAlignment="1">
      <alignment horizontal="center" vertical="center" wrapText="1"/>
    </xf>
    <xf numFmtId="170" fontId="0" fillId="0" borderId="0" xfId="0" applyNumberFormat="1" applyAlignment="1">
      <alignment horizontal="center" vertical="center" wrapText="1" shrinkToFi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 shrinkToFit="1"/>
    </xf>
    <xf numFmtId="0" fontId="3" fillId="4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10" fillId="6" borderId="2" xfId="0" applyFont="1" applyFill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2" fontId="5" fillId="6" borderId="3" xfId="0" applyNumberFormat="1" applyFont="1" applyFill="1" applyBorder="1" applyAlignment="1">
      <alignment horizontal="center" vertical="center" wrapText="1"/>
    </xf>
    <xf numFmtId="2" fontId="5" fillId="6" borderId="4" xfId="0" applyNumberFormat="1" applyFont="1" applyFill="1" applyBorder="1" applyAlignment="1">
      <alignment horizontal="center" vertical="center" wrapText="1"/>
    </xf>
    <xf numFmtId="0" fontId="5" fillId="6" borderId="6" xfId="0" applyFont="1" applyFill="1" applyBorder="1" applyAlignment="1">
      <alignment horizontal="center" vertical="center" wrapText="1"/>
    </xf>
    <xf numFmtId="2" fontId="8" fillId="6" borderId="6" xfId="0" applyNumberFormat="1" applyFont="1" applyFill="1" applyBorder="1" applyAlignment="1">
      <alignment horizontal="center" vertical="center" wrapText="1"/>
    </xf>
    <xf numFmtId="2" fontId="8" fillId="6" borderId="7" xfId="0" applyNumberFormat="1" applyFont="1" applyFill="1" applyBorder="1" applyAlignment="1">
      <alignment horizontal="center" vertical="center" wrapText="1"/>
    </xf>
    <xf numFmtId="2" fontId="8" fillId="6" borderId="0" xfId="0" applyNumberFormat="1" applyFont="1" applyFill="1" applyAlignment="1">
      <alignment horizontal="center" vertical="center" wrapText="1"/>
    </xf>
    <xf numFmtId="0" fontId="5" fillId="6" borderId="8" xfId="0" applyFont="1" applyFill="1" applyBorder="1" applyAlignment="1">
      <alignment horizontal="center" vertical="center" wrapText="1"/>
    </xf>
    <xf numFmtId="2" fontId="8" fillId="6" borderId="9" xfId="0" applyNumberFormat="1" applyFont="1" applyFill="1" applyBorder="1" applyAlignment="1">
      <alignment horizontal="center" vertical="center" wrapText="1"/>
    </xf>
    <xf numFmtId="168" fontId="8" fillId="6" borderId="0" xfId="0" applyNumberFormat="1" applyFont="1" applyFill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2" fontId="9" fillId="0" borderId="0" xfId="0" applyNumberFormat="1" applyFont="1" applyAlignment="1">
      <alignment horizontal="center" vertical="center" wrapText="1"/>
    </xf>
    <xf numFmtId="0" fontId="10" fillId="6" borderId="8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center" vertical="center" wrapText="1"/>
    </xf>
    <xf numFmtId="2" fontId="5" fillId="6" borderId="0" xfId="0" applyNumberFormat="1" applyFont="1" applyFill="1" applyAlignment="1">
      <alignment horizontal="center" vertical="center" wrapText="1"/>
    </xf>
    <xf numFmtId="2" fontId="5" fillId="6" borderId="9" xfId="0" applyNumberFormat="1" applyFont="1" applyFill="1" applyBorder="1" applyAlignment="1">
      <alignment horizontal="center" vertical="center" wrapText="1"/>
    </xf>
    <xf numFmtId="168" fontId="5" fillId="6" borderId="0" xfId="0" applyNumberFormat="1" applyFont="1" applyFill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0" fillId="6" borderId="10" xfId="0" applyFont="1" applyFill="1" applyBorder="1" applyAlignment="1">
      <alignment horizontal="center" vertical="center" wrapText="1"/>
    </xf>
    <xf numFmtId="0" fontId="5" fillId="6" borderId="11" xfId="0" applyFont="1" applyFill="1" applyBorder="1" applyAlignment="1">
      <alignment horizontal="center" vertical="center" wrapText="1"/>
    </xf>
    <xf numFmtId="2" fontId="5" fillId="6" borderId="11" xfId="0" applyNumberFormat="1" applyFont="1" applyFill="1" applyBorder="1" applyAlignment="1">
      <alignment horizontal="center" vertical="center" wrapText="1"/>
    </xf>
    <xf numFmtId="2" fontId="5" fillId="6" borderId="5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Border="1" applyAlignment="1">
      <alignment horizontal="center" vertical="center" wrapText="1"/>
    </xf>
    <xf numFmtId="9" fontId="5" fillId="0" borderId="11" xfId="0" applyNumberFormat="1" applyFont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10" fontId="5" fillId="0" borderId="11" xfId="0" applyNumberFormat="1" applyFont="1" applyBorder="1" applyAlignment="1">
      <alignment horizontal="center" vertical="center" wrapText="1"/>
    </xf>
    <xf numFmtId="168" fontId="5" fillId="0" borderId="0" xfId="0" applyNumberFormat="1" applyFont="1" applyAlignment="1">
      <alignment horizontal="center" vertical="center" wrapText="1"/>
    </xf>
    <xf numFmtId="2" fontId="11" fillId="0" borderId="0" xfId="0" applyNumberFormat="1" applyFont="1" applyAlignment="1">
      <alignment horizontal="center" vertical="center" wrapText="1"/>
    </xf>
    <xf numFmtId="167" fontId="9" fillId="0" borderId="0" xfId="0" applyNumberFormat="1" applyFont="1" applyAlignment="1">
      <alignment horizontal="center" vertical="center" wrapText="1"/>
    </xf>
    <xf numFmtId="43" fontId="11" fillId="7" borderId="0" xfId="0" applyNumberFormat="1" applyFont="1" applyFill="1" applyAlignment="1">
      <alignment horizontal="center" vertical="center" wrapText="1"/>
    </xf>
    <xf numFmtId="43" fontId="9" fillId="0" borderId="0" xfId="0" applyNumberFormat="1" applyFont="1" applyAlignment="1">
      <alignment horizontal="center" vertical="center" wrapText="1"/>
    </xf>
    <xf numFmtId="10" fontId="9" fillId="0" borderId="0" xfId="0" applyNumberFormat="1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8" fontId="12" fillId="0" borderId="0" xfId="0" applyNumberFormat="1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4" xfId="0" applyNumberFormat="1" applyFont="1" applyBorder="1" applyAlignment="1">
      <alignment horizontal="center" vertical="center" wrapText="1"/>
    </xf>
    <xf numFmtId="2" fontId="5" fillId="0" borderId="6" xfId="0" applyNumberFormat="1" applyFont="1" applyBorder="1" applyAlignment="1">
      <alignment horizontal="center" vertical="center" wrapText="1"/>
    </xf>
    <xf numFmtId="2" fontId="8" fillId="0" borderId="6" xfId="0" applyNumberFormat="1" applyFont="1" applyBorder="1" applyAlignment="1">
      <alignment horizontal="center" vertical="center" wrapText="1"/>
    </xf>
    <xf numFmtId="2" fontId="8" fillId="0" borderId="7" xfId="0" applyNumberFormat="1" applyFont="1" applyBorder="1" applyAlignment="1">
      <alignment horizontal="center" vertical="center" wrapText="1"/>
    </xf>
    <xf numFmtId="2" fontId="5" fillId="0" borderId="12" xfId="0" applyNumberFormat="1" applyFont="1" applyBorder="1" applyAlignment="1">
      <alignment horizontal="center" vertical="center" wrapText="1"/>
    </xf>
    <xf numFmtId="168" fontId="8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2" fontId="5" fillId="0" borderId="9" xfId="0" applyNumberFormat="1" applyFont="1" applyBorder="1" applyAlignment="1">
      <alignment horizontal="center" vertical="center" wrapText="1"/>
    </xf>
    <xf numFmtId="2" fontId="5" fillId="0" borderId="8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2" fontId="5" fillId="0" borderId="5" xfId="0" applyNumberFormat="1" applyFont="1" applyBorder="1" applyAlignment="1">
      <alignment horizontal="center" vertical="center" wrapText="1"/>
    </xf>
    <xf numFmtId="2" fontId="5" fillId="6" borderId="6" xfId="0" applyNumberFormat="1" applyFont="1" applyFill="1" applyBorder="1" applyAlignment="1">
      <alignment horizontal="center" vertical="center" wrapText="1"/>
    </xf>
    <xf numFmtId="2" fontId="5" fillId="6" borderId="12" xfId="0" applyNumberFormat="1" applyFont="1" applyFill="1" applyBorder="1" applyAlignment="1">
      <alignment horizontal="center" vertical="center" wrapText="1"/>
    </xf>
    <xf numFmtId="2" fontId="5" fillId="6" borderId="8" xfId="0" applyNumberFormat="1" applyFont="1" applyFill="1" applyBorder="1" applyAlignment="1">
      <alignment horizontal="center" vertical="center" wrapText="1"/>
    </xf>
    <xf numFmtId="167" fontId="5" fillId="0" borderId="11" xfId="0" applyNumberFormat="1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10" fillId="0" borderId="0" xfId="0" applyNumberFormat="1" applyFont="1" applyAlignment="1">
      <alignment horizontal="center" vertical="center" wrapText="1"/>
    </xf>
    <xf numFmtId="9" fontId="3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167" fontId="10" fillId="0" borderId="0" xfId="0" applyNumberFormat="1" applyFont="1" applyAlignment="1">
      <alignment horizontal="center" vertical="center" wrapText="1"/>
    </xf>
    <xf numFmtId="167" fontId="3" fillId="0" borderId="0" xfId="0" applyNumberFormat="1" applyFont="1" applyAlignment="1">
      <alignment horizontal="center" vertical="center" wrapText="1"/>
    </xf>
    <xf numFmtId="9" fontId="3" fillId="0" borderId="9" xfId="0" applyNumberFormat="1" applyFont="1" applyBorder="1" applyAlignment="1">
      <alignment horizontal="center" vertical="center" wrapText="1"/>
    </xf>
    <xf numFmtId="9" fontId="3" fillId="0" borderId="1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183">
    <cellStyle name="Comma" xfId="1" builtinId="3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0" builtinId="9" hidden="1"/>
    <cellStyle name="Followed Hyperlink" xfId="111" builtinId="9" hidden="1"/>
    <cellStyle name="Followed Hyperlink" xfId="112" builtinId="9" hidden="1"/>
    <cellStyle name="Followed Hyperlink" xfId="113" builtinId="9" hidden="1"/>
    <cellStyle name="Followed Hyperlink" xfId="114" builtinId="9" hidden="1"/>
    <cellStyle name="Followed Hyperlink" xfId="115" builtinId="9" hidden="1"/>
    <cellStyle name="Followed Hyperlink" xfId="116" builtinId="9" hidden="1"/>
    <cellStyle name="Followed Hyperlink" xfId="117" builtinId="9" hidden="1"/>
    <cellStyle name="Followed Hyperlink" xfId="118" builtinId="9" hidden="1"/>
    <cellStyle name="Followed Hyperlink" xfId="119" builtinId="9" hidden="1"/>
    <cellStyle name="Followed Hyperlink" xfId="120" builtinId="9" hidden="1"/>
    <cellStyle name="Followed Hyperlink" xfId="121" builtinId="9" hidden="1"/>
    <cellStyle name="Followed Hyperlink" xfId="122" builtinId="9" hidden="1"/>
    <cellStyle name="Followed Hyperlink" xfId="123" builtinId="9" hidden="1"/>
    <cellStyle name="Followed Hyperlink" xfId="124" builtinId="9" hidden="1"/>
    <cellStyle name="Followed Hyperlink" xfId="125" builtinId="9" hidden="1"/>
    <cellStyle name="Followed Hyperlink" xfId="126" builtinId="9" hidden="1"/>
    <cellStyle name="Followed Hyperlink" xfId="127" builtinId="9" hidden="1"/>
    <cellStyle name="Followed Hyperlink" xfId="128" builtinId="9" hidden="1"/>
    <cellStyle name="Followed Hyperlink" xfId="129" builtinId="9" hidden="1"/>
    <cellStyle name="Followed Hyperlink" xfId="130" builtinId="9" hidden="1"/>
    <cellStyle name="Followed Hyperlink" xfId="131" builtinId="9" hidden="1"/>
    <cellStyle name="Followed Hyperlink" xfId="132" builtinId="9" hidden="1"/>
    <cellStyle name="Followed Hyperlink" xfId="133" builtinId="9" hidden="1"/>
    <cellStyle name="Followed Hyperlink" xfId="134" builtinId="9" hidden="1"/>
    <cellStyle name="Followed Hyperlink" xfId="135" builtinId="9" hidden="1"/>
    <cellStyle name="Followed Hyperlink" xfId="136" builtinId="9" hidden="1"/>
    <cellStyle name="Followed Hyperlink" xfId="137" builtinId="9" hidden="1"/>
    <cellStyle name="Followed Hyperlink" xfId="138" builtinId="9" hidden="1"/>
    <cellStyle name="Followed Hyperlink" xfId="139" builtinId="9" hidden="1"/>
    <cellStyle name="Followed Hyperlink" xfId="140" builtinId="9" hidden="1"/>
    <cellStyle name="Followed Hyperlink" xfId="141" builtinId="9" hidden="1"/>
    <cellStyle name="Followed Hyperlink" xfId="142" builtinId="9" hidden="1"/>
    <cellStyle name="Followed Hyperlink" xfId="143" builtinId="9" hidden="1"/>
    <cellStyle name="Followed Hyperlink" xfId="144" builtinId="9" hidden="1"/>
    <cellStyle name="Followed Hyperlink" xfId="145" builtinId="9" hidden="1"/>
    <cellStyle name="Followed Hyperlink" xfId="146" builtinId="9" hidden="1"/>
    <cellStyle name="Followed Hyperlink" xfId="147" builtinId="9" hidden="1"/>
    <cellStyle name="Followed Hyperlink" xfId="148" builtinId="9" hidden="1"/>
    <cellStyle name="Followed Hyperlink" xfId="149" builtinId="9" hidden="1"/>
    <cellStyle name="Followed Hyperlink" xfId="150" builtinId="9" hidden="1"/>
    <cellStyle name="Followed Hyperlink" xfId="151" builtinId="9" hidden="1"/>
    <cellStyle name="Followed Hyperlink" xfId="152" builtinId="9" hidden="1"/>
    <cellStyle name="Followed Hyperlink" xfId="153" builtinId="9" hidden="1"/>
    <cellStyle name="Followed Hyperlink" xfId="154" builtinId="9" hidden="1"/>
    <cellStyle name="Followed Hyperlink" xfId="155" builtinId="9" hidden="1"/>
    <cellStyle name="Followed Hyperlink" xfId="156" builtinId="9" hidden="1"/>
    <cellStyle name="Followed Hyperlink" xfId="157" builtinId="9" hidden="1"/>
    <cellStyle name="Followed Hyperlink" xfId="158" builtinId="9" hidden="1"/>
    <cellStyle name="Followed Hyperlink" xfId="159" builtinId="9" hidden="1"/>
    <cellStyle name="Followed Hyperlink" xfId="160" builtinId="9" hidden="1"/>
    <cellStyle name="Followed Hyperlink" xfId="161" builtinId="9" hidden="1"/>
    <cellStyle name="Followed Hyperlink" xfId="162" builtinId="9" hidden="1"/>
    <cellStyle name="Followed Hyperlink" xfId="163" builtinId="9" hidden="1"/>
    <cellStyle name="Followed Hyperlink" xfId="164" builtinId="9" hidden="1"/>
    <cellStyle name="Followed Hyperlink" xfId="165" builtinId="9" hidden="1"/>
    <cellStyle name="Followed Hyperlink" xfId="166" builtinId="9" hidden="1"/>
    <cellStyle name="Followed Hyperlink" xfId="167" builtinId="9" hidden="1"/>
    <cellStyle name="Followed Hyperlink" xfId="168" builtinId="9" hidden="1"/>
    <cellStyle name="Followed Hyperlink" xfId="169" builtinId="9" hidden="1"/>
    <cellStyle name="Followed Hyperlink" xfId="170" builtinId="9" hidden="1"/>
    <cellStyle name="Followed Hyperlink" xfId="171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Normal" xfId="0" builtinId="0"/>
    <cellStyle name="Normal 3" xfId="3" xr:uid="{00000000-0005-0000-0000-0000B5000000}"/>
    <cellStyle name="Percent" xfId="2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tif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165100</xdr:rowOff>
    </xdr:from>
    <xdr:to>
      <xdr:col>7</xdr:col>
      <xdr:colOff>188227</xdr:colOff>
      <xdr:row>36</xdr:row>
      <xdr:rowOff>50800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863800"/>
          <a:ext cx="5661927" cy="426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2"/>
  <sheetViews>
    <sheetView tabSelected="1" zoomScale="80" zoomScaleNormal="80" zoomScalePageLayoutView="80" workbookViewId="0">
      <selection sqref="A1:A2"/>
    </sheetView>
  </sheetViews>
  <sheetFormatPr baseColWidth="10" defaultRowHeight="16" x14ac:dyDescent="0.2"/>
  <cols>
    <col min="1" max="1" width="22.33203125" style="3" customWidth="1"/>
    <col min="2" max="2" width="27.1640625" style="3" customWidth="1"/>
    <col min="3" max="4" width="10.83203125" style="6"/>
    <col min="5" max="5" width="10.83203125" style="3"/>
    <col min="6" max="6" width="21.83203125" style="9" customWidth="1"/>
    <col min="7" max="7" width="10.83203125" style="3"/>
    <col min="8" max="8" width="21.83203125" style="3" customWidth="1"/>
    <col min="9" max="9" width="21.83203125" style="9" customWidth="1"/>
    <col min="10" max="10" width="10.83203125" style="6"/>
    <col min="11" max="11" width="30.5" style="10" customWidth="1"/>
    <col min="12" max="12" width="30.5" style="9" customWidth="1"/>
    <col min="13" max="13" width="10.83203125" style="3"/>
    <col min="14" max="14" width="23.5" style="9" customWidth="1"/>
    <col min="15" max="16384" width="10.83203125" style="3"/>
  </cols>
  <sheetData>
    <row r="1" spans="1:17" x14ac:dyDescent="0.2">
      <c r="A1" s="116" t="s">
        <v>697</v>
      </c>
    </row>
    <row r="2" spans="1:17" x14ac:dyDescent="0.2">
      <c r="A2" s="117" t="s">
        <v>698</v>
      </c>
    </row>
    <row r="3" spans="1:17" ht="23" x14ac:dyDescent="0.2">
      <c r="A3" s="115" t="s">
        <v>578</v>
      </c>
      <c r="B3" s="115"/>
      <c r="C3" s="104" t="s">
        <v>19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5" t="s">
        <v>589</v>
      </c>
      <c r="P3" s="105"/>
      <c r="Q3" s="105"/>
    </row>
    <row r="4" spans="1:17" ht="34" x14ac:dyDescent="0.2">
      <c r="A4" s="3" t="s">
        <v>20</v>
      </c>
      <c r="B4" s="3" t="s">
        <v>21</v>
      </c>
      <c r="C4" s="6" t="s">
        <v>22</v>
      </c>
      <c r="D4" s="6" t="s">
        <v>23</v>
      </c>
      <c r="E4" s="3" t="s">
        <v>24</v>
      </c>
      <c r="F4" s="9" t="s">
        <v>25</v>
      </c>
      <c r="G4" s="3" t="s">
        <v>26</v>
      </c>
      <c r="H4" s="3" t="s">
        <v>587</v>
      </c>
      <c r="I4" s="9" t="s">
        <v>27</v>
      </c>
      <c r="J4" s="6" t="s">
        <v>28</v>
      </c>
      <c r="K4" s="10" t="s">
        <v>29</v>
      </c>
      <c r="L4" s="9" t="s">
        <v>30</v>
      </c>
      <c r="M4" s="3" t="s">
        <v>31</v>
      </c>
      <c r="N4" s="9" t="s">
        <v>32</v>
      </c>
      <c r="O4" s="3" t="s">
        <v>590</v>
      </c>
      <c r="P4" s="3" t="s">
        <v>591</v>
      </c>
      <c r="Q4" s="3" t="s">
        <v>592</v>
      </c>
    </row>
    <row r="5" spans="1:17" ht="17" x14ac:dyDescent="0.2">
      <c r="A5" s="3" t="s">
        <v>11</v>
      </c>
      <c r="B5" s="3" t="s">
        <v>33</v>
      </c>
      <c r="C5" s="6">
        <v>1</v>
      </c>
      <c r="D5" s="6">
        <v>1</v>
      </c>
      <c r="E5" s="5">
        <v>50.58</v>
      </c>
      <c r="F5" s="9">
        <v>0.06</v>
      </c>
      <c r="G5" s="3">
        <v>0.18</v>
      </c>
      <c r="H5" s="3">
        <f>G5-0.15</f>
        <v>0.03</v>
      </c>
      <c r="I5" s="9">
        <v>0.157</v>
      </c>
      <c r="J5" s="106">
        <v>651.11</v>
      </c>
      <c r="K5" s="107">
        <v>5.5E-2</v>
      </c>
      <c r="L5" s="107"/>
      <c r="M5" s="3" t="s">
        <v>34</v>
      </c>
      <c r="N5" s="9">
        <v>0.126</v>
      </c>
      <c r="O5" s="53" t="s">
        <v>12</v>
      </c>
      <c r="P5" s="53" t="s">
        <v>12</v>
      </c>
      <c r="Q5" s="53" t="s">
        <v>12</v>
      </c>
    </row>
    <row r="6" spans="1:17" ht="17" x14ac:dyDescent="0.2">
      <c r="A6" s="3" t="s">
        <v>13</v>
      </c>
      <c r="B6" s="3" t="s">
        <v>33</v>
      </c>
      <c r="C6" s="6">
        <v>1</v>
      </c>
      <c r="D6" s="6">
        <v>6</v>
      </c>
      <c r="E6" s="5">
        <v>54.07</v>
      </c>
      <c r="F6" s="9">
        <v>5.8000000000000003E-2</v>
      </c>
      <c r="G6" s="3">
        <v>0.13</v>
      </c>
      <c r="H6" s="3">
        <v>0</v>
      </c>
      <c r="I6" s="9">
        <v>0.14599999999999999</v>
      </c>
      <c r="J6" s="108">
        <v>432.69</v>
      </c>
      <c r="K6" s="109">
        <v>4.8000000000000001E-2</v>
      </c>
      <c r="L6" s="110"/>
      <c r="M6" s="3" t="s">
        <v>34</v>
      </c>
      <c r="N6" s="9">
        <v>0.155</v>
      </c>
      <c r="O6" s="53">
        <v>0.14899999999999999</v>
      </c>
      <c r="P6" s="53">
        <v>0.13</v>
      </c>
      <c r="Q6" s="53" t="s">
        <v>12</v>
      </c>
    </row>
    <row r="7" spans="1:17" ht="17" x14ac:dyDescent="0.2">
      <c r="A7" s="3" t="s">
        <v>14</v>
      </c>
      <c r="B7" s="3" t="s">
        <v>33</v>
      </c>
      <c r="C7" s="6">
        <v>1</v>
      </c>
      <c r="D7" s="6">
        <v>3</v>
      </c>
      <c r="E7" s="5">
        <v>16.66</v>
      </c>
      <c r="F7" s="9">
        <v>4.4999999999999998E-2</v>
      </c>
      <c r="G7" s="3">
        <v>0.08</v>
      </c>
      <c r="H7" s="3">
        <f>G7-0.08</f>
        <v>0</v>
      </c>
      <c r="I7" s="9">
        <v>0.112</v>
      </c>
      <c r="J7" s="106">
        <v>773.3</v>
      </c>
      <c r="K7" s="107">
        <v>5.8000000000000003E-2</v>
      </c>
      <c r="L7" s="107"/>
      <c r="M7" s="3" t="s">
        <v>34</v>
      </c>
      <c r="N7" s="9">
        <v>9.1999999999999998E-2</v>
      </c>
      <c r="O7" s="53">
        <v>3.3000000000000002E-2</v>
      </c>
      <c r="P7" s="53">
        <v>2.9000000000000001E-2</v>
      </c>
      <c r="Q7" s="53" t="s">
        <v>12</v>
      </c>
    </row>
    <row r="8" spans="1:17" ht="17" x14ac:dyDescent="0.2">
      <c r="A8" s="3" t="s">
        <v>15</v>
      </c>
      <c r="B8" s="3" t="s">
        <v>33</v>
      </c>
      <c r="C8" s="6">
        <v>2</v>
      </c>
      <c r="D8" s="6">
        <v>5</v>
      </c>
      <c r="E8" s="3">
        <v>6.53</v>
      </c>
      <c r="F8" s="9">
        <v>5.8000000000000003E-2</v>
      </c>
      <c r="G8" s="3">
        <v>0.11</v>
      </c>
      <c r="H8" s="3">
        <f>G8-0.08</f>
        <v>0.03</v>
      </c>
      <c r="I8" s="9">
        <v>0.105</v>
      </c>
      <c r="J8" s="106">
        <v>446.31</v>
      </c>
      <c r="K8" s="107">
        <v>5.8999999999999997E-2</v>
      </c>
      <c r="L8" s="107"/>
      <c r="M8" s="3" t="s">
        <v>34</v>
      </c>
      <c r="N8" s="9">
        <v>8.4000000000000005E-2</v>
      </c>
      <c r="O8" s="53">
        <v>0.04</v>
      </c>
      <c r="P8" s="53">
        <v>0.05</v>
      </c>
      <c r="Q8" s="53" t="s">
        <v>12</v>
      </c>
    </row>
    <row r="9" spans="1:17" ht="17" x14ac:dyDescent="0.2">
      <c r="A9" s="3" t="s">
        <v>16</v>
      </c>
      <c r="B9" s="3" t="s">
        <v>33</v>
      </c>
      <c r="C9" s="6">
        <v>1</v>
      </c>
      <c r="D9" s="6">
        <v>3</v>
      </c>
      <c r="E9" s="5">
        <v>13.39</v>
      </c>
      <c r="F9" s="9">
        <v>0.06</v>
      </c>
      <c r="G9" s="3">
        <v>1.17</v>
      </c>
      <c r="H9" s="3">
        <f>G9-0.12</f>
        <v>1.0499999999999998</v>
      </c>
      <c r="I9" s="9">
        <v>9.7000000000000003E-2</v>
      </c>
      <c r="J9" s="108">
        <v>753</v>
      </c>
      <c r="K9" s="109">
        <v>7.6999999999999999E-2</v>
      </c>
      <c r="L9" s="110"/>
      <c r="M9" s="3" t="s">
        <v>34</v>
      </c>
      <c r="N9" s="9">
        <v>9.1999999999999998E-2</v>
      </c>
      <c r="O9" s="53">
        <v>0.05</v>
      </c>
      <c r="P9" s="53">
        <v>0.1</v>
      </c>
      <c r="Q9" s="53">
        <v>0.25</v>
      </c>
    </row>
    <row r="10" spans="1:17" ht="17" x14ac:dyDescent="0.2">
      <c r="A10" s="3" t="s">
        <v>17</v>
      </c>
      <c r="B10" s="3" t="s">
        <v>33</v>
      </c>
      <c r="C10" s="6">
        <v>3</v>
      </c>
      <c r="D10" s="6">
        <v>7</v>
      </c>
      <c r="E10" s="5">
        <v>33.17</v>
      </c>
      <c r="F10" s="9">
        <v>4.3999999999999997E-2</v>
      </c>
      <c r="G10" s="3">
        <v>7.0000000000000007E-2</v>
      </c>
      <c r="H10" s="3">
        <v>0</v>
      </c>
      <c r="I10" s="9">
        <v>0.124</v>
      </c>
      <c r="J10" s="106">
        <v>444.84</v>
      </c>
      <c r="K10" s="107">
        <v>0.06</v>
      </c>
      <c r="L10" s="107"/>
      <c r="M10" s="3" t="s">
        <v>34</v>
      </c>
      <c r="N10" s="9">
        <v>0.13400000000000001</v>
      </c>
      <c r="O10" s="53">
        <v>0.24</v>
      </c>
      <c r="P10" s="53">
        <v>0.14000000000000001</v>
      </c>
      <c r="Q10" s="53" t="s">
        <v>12</v>
      </c>
    </row>
    <row r="11" spans="1:17" x14ac:dyDescent="0.2">
      <c r="J11" s="106"/>
      <c r="K11" s="107"/>
      <c r="L11" s="107"/>
      <c r="O11" s="53"/>
      <c r="P11" s="53"/>
      <c r="Q11" s="53"/>
    </row>
    <row r="12" spans="1:17" ht="23" x14ac:dyDescent="0.2">
      <c r="C12" s="104" t="s">
        <v>2</v>
      </c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4"/>
      <c r="O12" s="53"/>
      <c r="P12" s="53"/>
      <c r="Q12" s="53"/>
    </row>
    <row r="13" spans="1:17" ht="34" x14ac:dyDescent="0.2">
      <c r="A13" s="3" t="s">
        <v>20</v>
      </c>
      <c r="B13" s="3" t="s">
        <v>21</v>
      </c>
      <c r="C13" s="6" t="s">
        <v>22</v>
      </c>
      <c r="D13" s="6" t="s">
        <v>23</v>
      </c>
      <c r="E13" s="3" t="s">
        <v>24</v>
      </c>
      <c r="F13" s="9" t="s">
        <v>25</v>
      </c>
      <c r="G13" s="3" t="s">
        <v>26</v>
      </c>
      <c r="H13" s="3" t="s">
        <v>587</v>
      </c>
      <c r="I13" s="9" t="s">
        <v>27</v>
      </c>
      <c r="J13" s="6" t="s">
        <v>28</v>
      </c>
      <c r="K13" s="10" t="s">
        <v>29</v>
      </c>
      <c r="L13" s="9" t="s">
        <v>588</v>
      </c>
      <c r="M13" s="3" t="s">
        <v>31</v>
      </c>
      <c r="N13" s="9" t="s">
        <v>32</v>
      </c>
      <c r="O13" s="53" t="s">
        <v>590</v>
      </c>
      <c r="P13" s="53" t="s">
        <v>591</v>
      </c>
      <c r="Q13" s="53" t="s">
        <v>592</v>
      </c>
    </row>
    <row r="14" spans="1:17" ht="17" x14ac:dyDescent="0.2">
      <c r="A14" s="3" t="s">
        <v>11</v>
      </c>
      <c r="B14" s="3" t="s">
        <v>33</v>
      </c>
      <c r="C14" s="6">
        <v>2</v>
      </c>
      <c r="D14" s="6">
        <v>5</v>
      </c>
      <c r="E14" s="3">
        <v>8.92</v>
      </c>
      <c r="F14" s="9">
        <v>0.06</v>
      </c>
      <c r="G14" s="3">
        <v>0.17</v>
      </c>
      <c r="H14" s="3">
        <f>G14-0.15</f>
        <v>2.0000000000000018E-2</v>
      </c>
      <c r="I14" s="9">
        <v>0.14499999999999999</v>
      </c>
      <c r="J14" s="106">
        <v>113.39</v>
      </c>
      <c r="K14" s="107">
        <v>5.0999999999999997E-2</v>
      </c>
      <c r="L14" s="111">
        <f>J14*K14+4.3</f>
        <v>10.082889999999999</v>
      </c>
      <c r="M14" s="3" t="s">
        <v>34</v>
      </c>
      <c r="N14" s="9">
        <v>0.114</v>
      </c>
      <c r="O14" s="53">
        <v>0.24</v>
      </c>
      <c r="P14" s="53">
        <v>0.16</v>
      </c>
      <c r="Q14" s="53" t="s">
        <v>12</v>
      </c>
    </row>
    <row r="15" spans="1:17" ht="17" x14ac:dyDescent="0.2">
      <c r="A15" s="3" t="s">
        <v>13</v>
      </c>
      <c r="B15" s="3" t="s">
        <v>33</v>
      </c>
      <c r="C15" s="6">
        <v>2</v>
      </c>
      <c r="D15" s="6">
        <v>9</v>
      </c>
      <c r="E15" s="3">
        <v>7.76</v>
      </c>
      <c r="F15" s="9">
        <v>0.06</v>
      </c>
      <c r="G15" s="3">
        <v>0.18</v>
      </c>
      <c r="H15" s="3">
        <f>G15-0.15</f>
        <v>0.03</v>
      </c>
      <c r="I15" s="9">
        <v>0.14000000000000001</v>
      </c>
      <c r="J15" s="108">
        <v>124.75</v>
      </c>
      <c r="K15" s="109">
        <v>5.1999999999999998E-2</v>
      </c>
      <c r="L15" s="111">
        <f>J15*K15+4.3</f>
        <v>10.786999999999999</v>
      </c>
      <c r="M15" s="3" t="s">
        <v>34</v>
      </c>
      <c r="N15" s="9">
        <v>0.161</v>
      </c>
      <c r="O15" s="53">
        <v>0.28999999999999998</v>
      </c>
      <c r="P15" s="53">
        <v>0.67</v>
      </c>
      <c r="Q15" s="53" t="s">
        <v>12</v>
      </c>
    </row>
    <row r="16" spans="1:17" ht="17" x14ac:dyDescent="0.2">
      <c r="A16" s="3" t="s">
        <v>14</v>
      </c>
      <c r="B16" s="3" t="s">
        <v>33</v>
      </c>
      <c r="C16" s="6">
        <v>2</v>
      </c>
      <c r="D16" s="6">
        <v>6</v>
      </c>
      <c r="E16" s="3">
        <v>2.0099999999999998</v>
      </c>
      <c r="F16" s="9">
        <v>6.0999999999999999E-2</v>
      </c>
      <c r="G16" s="3">
        <v>0.1</v>
      </c>
      <c r="H16" s="3">
        <f>G16-0.08</f>
        <v>2.0000000000000004E-2</v>
      </c>
      <c r="I16" s="9">
        <v>0.115</v>
      </c>
      <c r="J16" s="106">
        <v>201.26</v>
      </c>
      <c r="K16" s="107">
        <v>5.7000000000000002E-2</v>
      </c>
      <c r="L16" s="111">
        <f>J16*K16+7.3</f>
        <v>18.771819999999998</v>
      </c>
      <c r="M16" s="3" t="s">
        <v>34</v>
      </c>
      <c r="N16" s="9">
        <v>9.1999999999999998E-2</v>
      </c>
      <c r="O16" s="53">
        <v>0.42</v>
      </c>
      <c r="P16" s="53">
        <v>0.1</v>
      </c>
      <c r="Q16" s="53" t="s">
        <v>12</v>
      </c>
    </row>
    <row r="17" spans="1:17" ht="17" x14ac:dyDescent="0.2">
      <c r="A17" s="3" t="s">
        <v>15</v>
      </c>
      <c r="B17" s="3" t="s">
        <v>33</v>
      </c>
      <c r="C17" s="6">
        <v>2</v>
      </c>
      <c r="D17" s="6">
        <v>7</v>
      </c>
      <c r="E17" s="3">
        <v>1.73</v>
      </c>
      <c r="F17" s="9">
        <v>5.0999999999999997E-2</v>
      </c>
      <c r="G17" s="3">
        <v>0.11</v>
      </c>
      <c r="H17" s="3">
        <f>G17-0.08</f>
        <v>0.03</v>
      </c>
      <c r="I17" s="9">
        <v>0.1</v>
      </c>
      <c r="J17" s="106">
        <v>85.1</v>
      </c>
      <c r="K17" s="107">
        <v>5.8999999999999997E-2</v>
      </c>
      <c r="L17" s="111">
        <f>J17*K17+7.3</f>
        <v>12.320899999999998</v>
      </c>
      <c r="M17" s="3" t="s">
        <v>34</v>
      </c>
      <c r="N17" s="9">
        <v>0.115</v>
      </c>
      <c r="O17" s="53">
        <v>0.93</v>
      </c>
      <c r="P17" s="53">
        <v>0.27</v>
      </c>
      <c r="Q17" s="53" t="s">
        <v>12</v>
      </c>
    </row>
    <row r="18" spans="1:17" ht="17" x14ac:dyDescent="0.2">
      <c r="A18" s="3" t="s">
        <v>16</v>
      </c>
      <c r="B18" s="3" t="s">
        <v>33</v>
      </c>
      <c r="C18" s="6">
        <v>2</v>
      </c>
      <c r="D18" s="6">
        <v>6</v>
      </c>
      <c r="E18" s="3">
        <v>4.76</v>
      </c>
      <c r="F18" s="9">
        <v>6.0999999999999999E-2</v>
      </c>
      <c r="G18" s="3">
        <v>0.11</v>
      </c>
      <c r="H18" s="3">
        <v>0</v>
      </c>
      <c r="I18" s="9">
        <v>0.11799999999999999</v>
      </c>
      <c r="J18" s="6">
        <v>60.25</v>
      </c>
      <c r="K18" s="10">
        <v>7.5999999999999998E-2</v>
      </c>
      <c r="L18" s="111">
        <f>J18*K18+9.2</f>
        <v>13.779</v>
      </c>
      <c r="M18" s="3" t="s">
        <v>34</v>
      </c>
      <c r="N18" s="9">
        <v>0.105</v>
      </c>
      <c r="O18" s="53">
        <v>0.35</v>
      </c>
      <c r="P18" s="53">
        <v>0.22</v>
      </c>
      <c r="Q18" s="53" t="s">
        <v>12</v>
      </c>
    </row>
    <row r="19" spans="1:17" ht="17" x14ac:dyDescent="0.2">
      <c r="A19" s="3" t="s">
        <v>17</v>
      </c>
      <c r="B19" s="3" t="s">
        <v>33</v>
      </c>
      <c r="C19" s="6">
        <v>3</v>
      </c>
      <c r="D19" s="6">
        <v>3</v>
      </c>
      <c r="E19" s="3">
        <v>3.81</v>
      </c>
      <c r="F19" s="9">
        <v>5.2999999999999999E-2</v>
      </c>
      <c r="G19" s="3">
        <v>0.08</v>
      </c>
      <c r="H19" s="3">
        <f>G19-0.08</f>
        <v>0</v>
      </c>
      <c r="I19" s="9">
        <v>0.11700000000000001</v>
      </c>
      <c r="J19" s="108">
        <v>79.760000000000005</v>
      </c>
      <c r="K19" s="109">
        <v>6.2E-2</v>
      </c>
      <c r="L19" s="111">
        <f>J19*K19+7.3</f>
        <v>12.24512</v>
      </c>
      <c r="M19" s="3" t="s">
        <v>34</v>
      </c>
      <c r="N19" s="9">
        <v>0.104</v>
      </c>
      <c r="O19" s="53">
        <v>0.12</v>
      </c>
      <c r="P19" s="53">
        <v>7.0000000000000007E-2</v>
      </c>
      <c r="Q19" s="53" t="s">
        <v>12</v>
      </c>
    </row>
    <row r="20" spans="1:17" x14ac:dyDescent="0.2">
      <c r="J20" s="106"/>
      <c r="K20" s="107"/>
      <c r="L20" s="112"/>
      <c r="O20" s="53"/>
      <c r="P20" s="53"/>
      <c r="Q20" s="53"/>
    </row>
    <row r="21" spans="1:17" x14ac:dyDescent="0.2">
      <c r="L21" s="113"/>
      <c r="O21" s="53"/>
      <c r="P21" s="53"/>
      <c r="Q21" s="53"/>
    </row>
    <row r="22" spans="1:17" ht="23" x14ac:dyDescent="0.2">
      <c r="C22" s="104" t="s">
        <v>4</v>
      </c>
      <c r="D22" s="104"/>
      <c r="E22" s="104"/>
      <c r="F22" s="104"/>
      <c r="G22" s="104"/>
      <c r="H22" s="104"/>
      <c r="I22" s="104"/>
      <c r="J22" s="104"/>
      <c r="K22" s="104"/>
      <c r="L22" s="104"/>
      <c r="M22" s="104"/>
      <c r="N22" s="104"/>
      <c r="O22" s="53"/>
      <c r="P22" s="53"/>
      <c r="Q22" s="53"/>
    </row>
    <row r="23" spans="1:17" ht="34" x14ac:dyDescent="0.2">
      <c r="A23" s="3" t="s">
        <v>20</v>
      </c>
      <c r="B23" s="3" t="s">
        <v>21</v>
      </c>
      <c r="C23" s="6" t="s">
        <v>22</v>
      </c>
      <c r="D23" s="6" t="s">
        <v>23</v>
      </c>
      <c r="E23" s="3" t="s">
        <v>24</v>
      </c>
      <c r="F23" s="9" t="s">
        <v>25</v>
      </c>
      <c r="G23" s="3" t="s">
        <v>26</v>
      </c>
      <c r="H23" s="3" t="s">
        <v>587</v>
      </c>
      <c r="I23" s="9" t="s">
        <v>27</v>
      </c>
      <c r="J23" s="6" t="s">
        <v>28</v>
      </c>
      <c r="K23" s="10" t="s">
        <v>29</v>
      </c>
      <c r="L23" s="9" t="s">
        <v>30</v>
      </c>
      <c r="M23" s="3" t="s">
        <v>31</v>
      </c>
      <c r="N23" s="9" t="s">
        <v>32</v>
      </c>
      <c r="O23" s="53" t="s">
        <v>590</v>
      </c>
      <c r="P23" s="53" t="s">
        <v>591</v>
      </c>
      <c r="Q23" s="53" t="s">
        <v>592</v>
      </c>
    </row>
    <row r="24" spans="1:17" ht="17" x14ac:dyDescent="0.2">
      <c r="A24" s="3" t="s">
        <v>11</v>
      </c>
      <c r="B24" s="3" t="s">
        <v>33</v>
      </c>
      <c r="C24" s="6">
        <v>1</v>
      </c>
      <c r="D24" s="6">
        <v>2</v>
      </c>
      <c r="E24" s="6">
        <v>609.79999999999995</v>
      </c>
      <c r="F24" s="9">
        <v>5.8999999999999997E-2</v>
      </c>
      <c r="G24" s="3">
        <v>2.13</v>
      </c>
      <c r="H24" s="3">
        <f>G24-0.15</f>
        <v>1.98</v>
      </c>
      <c r="I24" s="9">
        <v>0.127</v>
      </c>
      <c r="J24" s="106">
        <v>22451.53</v>
      </c>
      <c r="K24" s="10">
        <v>4.5999999999999999E-2</v>
      </c>
      <c r="L24" s="107"/>
      <c r="M24" s="3">
        <v>0.65</v>
      </c>
      <c r="N24" s="9">
        <v>8.4000000000000005E-2</v>
      </c>
      <c r="O24" s="53">
        <v>5.7000000000000002E-2</v>
      </c>
      <c r="P24" s="53">
        <v>5.0000000000000001E-3</v>
      </c>
      <c r="Q24" s="53">
        <v>3.6999999999999998E-2</v>
      </c>
    </row>
    <row r="25" spans="1:17" ht="17" x14ac:dyDescent="0.2">
      <c r="A25" s="3" t="s">
        <v>13</v>
      </c>
      <c r="B25" s="3" t="s">
        <v>33</v>
      </c>
      <c r="C25" s="6">
        <v>1</v>
      </c>
      <c r="D25" s="6">
        <v>9</v>
      </c>
      <c r="E25" s="6">
        <v>1821.99</v>
      </c>
      <c r="F25" s="9">
        <v>5.8999999999999997E-2</v>
      </c>
      <c r="G25" s="3">
        <v>1.1599999999999999</v>
      </c>
      <c r="H25" s="3">
        <f>G25-0.15</f>
        <v>1.01</v>
      </c>
      <c r="I25" s="9">
        <v>0.126</v>
      </c>
      <c r="J25" s="108">
        <v>28360.28</v>
      </c>
      <c r="K25" s="107">
        <v>4.5999999999999999E-2</v>
      </c>
      <c r="L25" s="110"/>
      <c r="M25" s="3">
        <v>0.54</v>
      </c>
      <c r="N25" s="9">
        <v>7.5999999999999998E-2</v>
      </c>
      <c r="O25" s="53">
        <v>8.4000000000000005E-2</v>
      </c>
      <c r="P25" s="53">
        <v>3.5999999999999997E-2</v>
      </c>
      <c r="Q25" s="53">
        <v>0.19800000000000001</v>
      </c>
    </row>
    <row r="26" spans="1:17" ht="17" x14ac:dyDescent="0.2">
      <c r="A26" s="3" t="s">
        <v>14</v>
      </c>
      <c r="B26" s="3" t="s">
        <v>33</v>
      </c>
      <c r="O26" s="53"/>
      <c r="P26" s="53"/>
      <c r="Q26" s="53"/>
    </row>
    <row r="27" spans="1:17" ht="17" x14ac:dyDescent="0.2">
      <c r="A27" s="3" t="s">
        <v>15</v>
      </c>
      <c r="B27" s="3" t="s">
        <v>33</v>
      </c>
      <c r="E27" s="6"/>
      <c r="J27" s="106"/>
      <c r="K27" s="107"/>
      <c r="L27" s="107"/>
      <c r="O27" s="53"/>
      <c r="P27" s="53"/>
      <c r="Q27" s="53"/>
    </row>
    <row r="28" spans="1:17" ht="17" x14ac:dyDescent="0.2">
      <c r="A28" s="3" t="s">
        <v>16</v>
      </c>
      <c r="B28" s="3" t="s">
        <v>33</v>
      </c>
      <c r="E28" s="6"/>
      <c r="J28" s="108"/>
      <c r="K28" s="109"/>
      <c r="L28" s="110"/>
      <c r="O28" s="53"/>
      <c r="P28" s="53"/>
      <c r="Q28" s="53"/>
    </row>
    <row r="29" spans="1:17" ht="17" x14ac:dyDescent="0.2">
      <c r="A29" s="3" t="s">
        <v>17</v>
      </c>
      <c r="B29" s="3" t="s">
        <v>33</v>
      </c>
      <c r="C29" s="6">
        <v>2</v>
      </c>
      <c r="D29" s="6">
        <v>6</v>
      </c>
      <c r="E29" s="6">
        <v>645.23</v>
      </c>
      <c r="F29" s="9">
        <v>4.3999999999999997E-2</v>
      </c>
      <c r="G29" s="3">
        <v>1.22</v>
      </c>
      <c r="H29" s="3">
        <f>G29-0.08</f>
        <v>1.1399999999999999</v>
      </c>
      <c r="I29" s="9">
        <v>8.6999999999999994E-2</v>
      </c>
      <c r="J29" s="106">
        <v>26410.09</v>
      </c>
      <c r="K29" s="107">
        <v>5.7000000000000002E-2</v>
      </c>
      <c r="L29" s="107"/>
      <c r="M29" s="3">
        <v>0.48</v>
      </c>
      <c r="N29" s="9">
        <v>5.7000000000000002E-2</v>
      </c>
      <c r="O29" s="53">
        <v>7.0000000000000007E-2</v>
      </c>
      <c r="P29" s="53">
        <v>0.09</v>
      </c>
      <c r="Q29" s="53">
        <v>0.09</v>
      </c>
    </row>
    <row r="30" spans="1:17" x14ac:dyDescent="0.2">
      <c r="J30" s="106"/>
      <c r="K30" s="107"/>
      <c r="L30" s="107"/>
      <c r="O30" s="53"/>
      <c r="P30" s="53"/>
      <c r="Q30" s="53"/>
    </row>
    <row r="31" spans="1:17" ht="23" x14ac:dyDescent="0.2">
      <c r="C31" s="104" t="s">
        <v>5</v>
      </c>
      <c r="D31" s="104"/>
      <c r="E31" s="104"/>
      <c r="F31" s="104"/>
      <c r="G31" s="104"/>
      <c r="H31" s="104"/>
      <c r="I31" s="104"/>
      <c r="J31" s="104"/>
      <c r="K31" s="104"/>
      <c r="L31" s="104"/>
      <c r="M31" s="104"/>
      <c r="N31" s="104"/>
      <c r="O31" s="53"/>
      <c r="P31" s="53"/>
      <c r="Q31" s="53"/>
    </row>
    <row r="32" spans="1:17" ht="34" x14ac:dyDescent="0.2">
      <c r="A32" s="3" t="s">
        <v>20</v>
      </c>
      <c r="B32" s="3" t="s">
        <v>21</v>
      </c>
      <c r="C32" s="6" t="s">
        <v>22</v>
      </c>
      <c r="D32" s="6" t="s">
        <v>23</v>
      </c>
      <c r="E32" s="3" t="s">
        <v>24</v>
      </c>
      <c r="F32" s="9" t="s">
        <v>25</v>
      </c>
      <c r="G32" s="3" t="s">
        <v>26</v>
      </c>
      <c r="H32" s="3" t="s">
        <v>587</v>
      </c>
      <c r="I32" s="9" t="s">
        <v>27</v>
      </c>
      <c r="J32" s="6" t="s">
        <v>28</v>
      </c>
      <c r="K32" s="10" t="s">
        <v>29</v>
      </c>
      <c r="L32" s="9" t="s">
        <v>30</v>
      </c>
      <c r="M32" s="3" t="s">
        <v>31</v>
      </c>
      <c r="N32" s="9" t="s">
        <v>32</v>
      </c>
      <c r="O32" s="53" t="s">
        <v>590</v>
      </c>
      <c r="P32" s="53" t="s">
        <v>591</v>
      </c>
      <c r="Q32" s="53" t="s">
        <v>592</v>
      </c>
    </row>
    <row r="33" spans="1:17" ht="17" x14ac:dyDescent="0.2">
      <c r="A33" s="3" t="s">
        <v>11</v>
      </c>
      <c r="B33" s="3" t="s">
        <v>33</v>
      </c>
      <c r="C33" s="6">
        <v>1</v>
      </c>
      <c r="D33" s="6">
        <v>5</v>
      </c>
      <c r="E33" s="6">
        <v>1812</v>
      </c>
      <c r="F33" s="9">
        <v>4.7E-2</v>
      </c>
      <c r="G33" s="5">
        <v>82.69</v>
      </c>
      <c r="H33" s="5">
        <f>G33-0.06</f>
        <v>82.63</v>
      </c>
      <c r="I33" s="9">
        <v>0.13100000000000001</v>
      </c>
      <c r="J33" s="114">
        <v>18682</v>
      </c>
      <c r="K33" s="107">
        <v>4.2000000000000003E-2</v>
      </c>
      <c r="L33" s="107"/>
      <c r="M33" s="5">
        <v>27.85</v>
      </c>
      <c r="N33" s="9">
        <v>0.11</v>
      </c>
      <c r="O33" s="53">
        <v>0.18</v>
      </c>
      <c r="P33" s="53">
        <v>0.05</v>
      </c>
      <c r="Q33" s="53">
        <v>0.37</v>
      </c>
    </row>
    <row r="34" spans="1:17" ht="17" x14ac:dyDescent="0.2">
      <c r="A34" s="3" t="s">
        <v>13</v>
      </c>
      <c r="B34" s="3" t="s">
        <v>33</v>
      </c>
      <c r="C34" s="6">
        <v>1</v>
      </c>
      <c r="D34" s="6">
        <v>3</v>
      </c>
      <c r="E34" s="6">
        <v>4726.74</v>
      </c>
      <c r="F34" s="9">
        <v>5.8999999999999997E-2</v>
      </c>
      <c r="G34" s="5">
        <v>11.6</v>
      </c>
      <c r="H34" s="5">
        <f>G34-0.12</f>
        <v>11.48</v>
      </c>
      <c r="I34" s="9">
        <v>0.122</v>
      </c>
      <c r="J34" s="108">
        <v>20187.37</v>
      </c>
      <c r="K34" s="109">
        <v>4.5999999999999999E-2</v>
      </c>
      <c r="L34" s="110"/>
      <c r="M34" s="5">
        <v>18.03</v>
      </c>
      <c r="N34" s="9">
        <v>5.8999999999999997E-2</v>
      </c>
      <c r="O34" s="53">
        <v>0.03</v>
      </c>
      <c r="P34" s="53">
        <v>0.03</v>
      </c>
      <c r="Q34" s="53">
        <v>0.24</v>
      </c>
    </row>
    <row r="35" spans="1:17" ht="17" x14ac:dyDescent="0.2">
      <c r="A35" s="3" t="s">
        <v>14</v>
      </c>
      <c r="B35" s="3" t="s">
        <v>33</v>
      </c>
      <c r="C35" s="6">
        <v>1</v>
      </c>
      <c r="D35" s="6">
        <v>2</v>
      </c>
      <c r="E35" s="6">
        <v>1072.52</v>
      </c>
      <c r="F35" s="9">
        <v>4.5999999999999999E-2</v>
      </c>
      <c r="G35" s="3">
        <v>0.64</v>
      </c>
      <c r="H35" s="3">
        <f>G35-0.08</f>
        <v>0.56000000000000005</v>
      </c>
      <c r="I35" s="9">
        <v>8.5000000000000006E-2</v>
      </c>
      <c r="J35" s="106">
        <v>17951.59</v>
      </c>
      <c r="K35" s="107">
        <v>5.8999999999999997E-2</v>
      </c>
      <c r="L35" s="107"/>
      <c r="M35" s="5">
        <v>27.03</v>
      </c>
      <c r="N35" s="9">
        <v>4.3999999999999997E-2</v>
      </c>
      <c r="O35" s="53"/>
      <c r="P35" s="53"/>
      <c r="Q35" s="53"/>
    </row>
    <row r="36" spans="1:17" ht="17" x14ac:dyDescent="0.2">
      <c r="A36" s="3" t="s">
        <v>15</v>
      </c>
      <c r="B36" s="3" t="s">
        <v>33</v>
      </c>
      <c r="C36" s="6">
        <v>4</v>
      </c>
      <c r="D36" s="6">
        <v>8</v>
      </c>
      <c r="E36" s="6">
        <v>747.08</v>
      </c>
      <c r="F36" s="9">
        <v>5.5E-2</v>
      </c>
      <c r="G36" s="5">
        <v>10.34</v>
      </c>
      <c r="H36" s="5">
        <f>G36-0.08</f>
        <v>10.26</v>
      </c>
      <c r="I36" s="9">
        <v>8.6999999999999994E-2</v>
      </c>
      <c r="J36" s="106">
        <v>17292.27</v>
      </c>
      <c r="K36" s="107">
        <v>5.8999999999999997E-2</v>
      </c>
      <c r="L36" s="107"/>
      <c r="M36" s="5">
        <v>5.63</v>
      </c>
      <c r="N36" s="9">
        <v>5.2999999999999999E-2</v>
      </c>
      <c r="O36" s="53"/>
      <c r="P36" s="53"/>
      <c r="Q36" s="53"/>
    </row>
    <row r="37" spans="1:17" ht="17" x14ac:dyDescent="0.2">
      <c r="A37" s="3" t="s">
        <v>16</v>
      </c>
      <c r="B37" s="3" t="s">
        <v>33</v>
      </c>
      <c r="C37" s="6">
        <v>2</v>
      </c>
      <c r="D37" s="6">
        <v>6</v>
      </c>
      <c r="E37" s="6">
        <v>563.07000000000005</v>
      </c>
      <c r="F37" s="9">
        <v>6.2E-2</v>
      </c>
      <c r="G37" s="5">
        <v>11.79</v>
      </c>
      <c r="H37" s="5">
        <f>G37-0.12</f>
        <v>11.67</v>
      </c>
      <c r="I37" s="9">
        <v>8.5999999999999993E-2</v>
      </c>
      <c r="J37" s="108">
        <v>23448.68</v>
      </c>
      <c r="K37" s="109">
        <v>7.4999999999999997E-2</v>
      </c>
      <c r="L37" s="110"/>
      <c r="M37" s="5">
        <v>5.91</v>
      </c>
      <c r="N37" s="9">
        <v>6.0999999999999999E-2</v>
      </c>
    </row>
    <row r="38" spans="1:17" ht="17" x14ac:dyDescent="0.2">
      <c r="A38" s="3" t="s">
        <v>17</v>
      </c>
      <c r="B38" s="3" t="s">
        <v>33</v>
      </c>
      <c r="C38" s="6">
        <v>1</v>
      </c>
      <c r="D38" s="6">
        <v>3</v>
      </c>
      <c r="E38" s="6">
        <v>1127.18</v>
      </c>
      <c r="F38" s="9">
        <v>0.05</v>
      </c>
      <c r="G38" s="5">
        <v>15.45</v>
      </c>
      <c r="H38" s="5">
        <f>G38-0.08</f>
        <v>15.37</v>
      </c>
      <c r="I38" s="9">
        <v>8.5999999999999993E-2</v>
      </c>
      <c r="J38" s="106">
        <v>15747.48</v>
      </c>
      <c r="K38" s="107">
        <v>5.8000000000000003E-2</v>
      </c>
      <c r="L38" s="107"/>
      <c r="M38" s="5">
        <v>2.97</v>
      </c>
      <c r="N38" s="9">
        <v>5.1999999999999998E-2</v>
      </c>
    </row>
    <row r="40" spans="1:17" ht="23" x14ac:dyDescent="0.2">
      <c r="C40" s="104" t="s">
        <v>7</v>
      </c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</row>
    <row r="41" spans="1:17" ht="34" x14ac:dyDescent="0.2">
      <c r="A41" s="3" t="s">
        <v>20</v>
      </c>
      <c r="B41" s="3" t="s">
        <v>21</v>
      </c>
      <c r="C41" s="6" t="s">
        <v>22</v>
      </c>
      <c r="D41" s="6" t="s">
        <v>23</v>
      </c>
      <c r="E41" s="3" t="s">
        <v>24</v>
      </c>
      <c r="F41" s="9" t="s">
        <v>25</v>
      </c>
      <c r="G41" s="3" t="s">
        <v>26</v>
      </c>
      <c r="H41" s="3" t="s">
        <v>587</v>
      </c>
      <c r="I41" s="9" t="s">
        <v>27</v>
      </c>
      <c r="J41" s="6" t="s">
        <v>28</v>
      </c>
      <c r="K41" s="10" t="s">
        <v>29</v>
      </c>
      <c r="L41" s="9" t="s">
        <v>30</v>
      </c>
      <c r="M41" s="3" t="s">
        <v>31</v>
      </c>
      <c r="N41" s="9" t="s">
        <v>32</v>
      </c>
    </row>
    <row r="42" spans="1:17" ht="17" x14ac:dyDescent="0.2">
      <c r="A42" s="3" t="s">
        <v>35</v>
      </c>
      <c r="B42" s="3" t="s">
        <v>33</v>
      </c>
      <c r="C42" s="6">
        <v>1</v>
      </c>
      <c r="D42" s="6">
        <v>3</v>
      </c>
      <c r="E42" s="6">
        <v>1394.2</v>
      </c>
      <c r="F42" s="9">
        <v>0.06</v>
      </c>
      <c r="G42" s="3">
        <v>0.11</v>
      </c>
      <c r="I42" s="9">
        <v>9.7000000000000003E-2</v>
      </c>
      <c r="J42" s="106">
        <v>4009.95</v>
      </c>
      <c r="K42" s="107">
        <v>7.3999999999999996E-2</v>
      </c>
      <c r="L42" s="107"/>
      <c r="M42" s="3" t="s">
        <v>34</v>
      </c>
      <c r="N42" s="9">
        <v>9.2999999999999999E-2</v>
      </c>
    </row>
  </sheetData>
  <mergeCells count="7">
    <mergeCell ref="A3:B3"/>
    <mergeCell ref="C40:N40"/>
    <mergeCell ref="O3:Q3"/>
    <mergeCell ref="C3:N3"/>
    <mergeCell ref="C12:N12"/>
    <mergeCell ref="C22:N22"/>
    <mergeCell ref="C31:N31"/>
  </mergeCells>
  <phoneticPr fontId="16" type="noConversion"/>
  <pageMargins left="0.75" right="0.75" top="1" bottom="1" header="0.5" footer="0.5"/>
  <pageSetup scale="39" orientation="portrait" horizontalDpi="4294967292" verticalDpi="4294967292"/>
  <rowBreaks count="1" manualBreakCount="1">
    <brk id="45" max="16383" man="1"/>
  </rowBreaks>
  <colBreaks count="1" manualBreakCount="1">
    <brk id="18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39"/>
  <sheetViews>
    <sheetView zoomScale="90" zoomScaleNormal="90" zoomScalePageLayoutView="75" workbookViewId="0">
      <selection activeCell="E45" sqref="E45"/>
    </sheetView>
  </sheetViews>
  <sheetFormatPr baseColWidth="10" defaultRowHeight="16" x14ac:dyDescent="0.2"/>
  <cols>
    <col min="1" max="1" width="18.33203125" style="119" customWidth="1"/>
    <col min="2" max="10" width="18" style="119" customWidth="1"/>
    <col min="11" max="16384" width="10.83203125" style="119"/>
  </cols>
  <sheetData>
    <row r="1" spans="1:12" x14ac:dyDescent="0.2">
      <c r="A1" s="116" t="s">
        <v>697</v>
      </c>
    </row>
    <row r="2" spans="1:12" x14ac:dyDescent="0.2">
      <c r="A2" s="117" t="s">
        <v>698</v>
      </c>
    </row>
    <row r="3" spans="1:12" x14ac:dyDescent="0.2">
      <c r="A3" s="115" t="s">
        <v>625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</row>
    <row r="4" spans="1:12" ht="24" x14ac:dyDescent="0.2">
      <c r="A4" s="151" t="s">
        <v>36</v>
      </c>
    </row>
    <row r="5" spans="1:12" ht="34" x14ac:dyDescent="0.2">
      <c r="A5" s="152" t="s">
        <v>2</v>
      </c>
      <c r="B5" s="119" t="s">
        <v>37</v>
      </c>
      <c r="C5" s="119" t="s">
        <v>38</v>
      </c>
      <c r="D5" s="119" t="s">
        <v>39</v>
      </c>
      <c r="E5" s="119" t="s">
        <v>40</v>
      </c>
      <c r="F5" s="119" t="s">
        <v>41</v>
      </c>
      <c r="G5" s="119" t="s">
        <v>42</v>
      </c>
      <c r="H5" s="119" t="s">
        <v>43</v>
      </c>
      <c r="K5" s="119" t="s">
        <v>580</v>
      </c>
      <c r="L5" s="119" t="s">
        <v>581</v>
      </c>
    </row>
    <row r="6" spans="1:12" ht="17" x14ac:dyDescent="0.2">
      <c r="A6" s="119" t="s">
        <v>44</v>
      </c>
      <c r="B6" s="125">
        <v>113.66321095800001</v>
      </c>
      <c r="C6" s="125">
        <v>118.4174299638</v>
      </c>
      <c r="D6" s="125">
        <v>315.58568037480001</v>
      </c>
      <c r="E6" s="125">
        <v>248.34627164159997</v>
      </c>
      <c r="F6" s="125">
        <v>103.6121136732</v>
      </c>
      <c r="G6" s="125">
        <v>143.73877945680002</v>
      </c>
      <c r="H6" s="125">
        <v>172.8357147198</v>
      </c>
      <c r="K6" s="125">
        <f>AVERAGE(B6:H6)</f>
        <v>173.7427429697143</v>
      </c>
      <c r="L6" s="153">
        <f>STDEV(B6:H6)/K6</f>
        <v>0.45909939515004644</v>
      </c>
    </row>
    <row r="7" spans="1:12" ht="34" x14ac:dyDescent="0.2">
      <c r="A7" s="119" t="s">
        <v>45</v>
      </c>
      <c r="B7" s="154">
        <v>5.370640210733553E-2</v>
      </c>
      <c r="C7" s="154">
        <v>4.9947257667047294E-2</v>
      </c>
      <c r="D7" s="154">
        <v>4.7968539931230743E-2</v>
      </c>
      <c r="E7" s="154">
        <v>0.37061802545583877</v>
      </c>
      <c r="F7" s="154">
        <v>5.0801233788631689E-2</v>
      </c>
      <c r="G7" s="154">
        <v>5.8137816106844042E-2</v>
      </c>
      <c r="H7" s="154">
        <v>6.1811380706374895E-2</v>
      </c>
      <c r="L7" s="153"/>
    </row>
    <row r="8" spans="1:12" ht="17" x14ac:dyDescent="0.2">
      <c r="A8" s="119" t="s">
        <v>46</v>
      </c>
      <c r="B8" s="131">
        <v>7.253323049195</v>
      </c>
      <c r="C8" s="131">
        <v>8.5570093947649983</v>
      </c>
      <c r="D8" s="131">
        <v>9.5067820378499999</v>
      </c>
      <c r="E8" s="131">
        <v>8.1733603718399994</v>
      </c>
      <c r="F8" s="131">
        <v>6.2917163742349995</v>
      </c>
      <c r="G8" s="131">
        <v>3.6581655697319997</v>
      </c>
      <c r="H8" s="131">
        <v>8.7433243926049986</v>
      </c>
      <c r="K8" s="131">
        <f>AVERAGE(B8:H8)</f>
        <v>7.4548115986031425</v>
      </c>
      <c r="L8" s="153">
        <f>STDEV(B8:H8)/K8</f>
        <v>0.26496442577370727</v>
      </c>
    </row>
    <row r="9" spans="1:12" ht="34" x14ac:dyDescent="0.2">
      <c r="A9" s="119" t="s">
        <v>47</v>
      </c>
      <c r="B9" s="154">
        <v>5.9978128672336629E-2</v>
      </c>
      <c r="C9" s="154">
        <v>5.8256870945580255E-2</v>
      </c>
      <c r="D9" s="154">
        <v>5.8531157234595739E-2</v>
      </c>
      <c r="E9" s="154">
        <v>6.2845807490134881E-2</v>
      </c>
      <c r="F9" s="154">
        <v>6.1623342798302436E-2</v>
      </c>
      <c r="G9" s="154">
        <v>5.8739325837153911E-2</v>
      </c>
      <c r="H9" s="154">
        <v>6.1363134700068059E-2</v>
      </c>
      <c r="L9" s="153"/>
    </row>
    <row r="10" spans="1:12" ht="17" x14ac:dyDescent="0.2">
      <c r="A10" s="119" t="s">
        <v>48</v>
      </c>
      <c r="B10" s="119" t="s">
        <v>12</v>
      </c>
      <c r="C10" s="131">
        <v>3.9062407969954999E-2</v>
      </c>
      <c r="D10" s="131">
        <v>5.8681845800034993E-2</v>
      </c>
      <c r="E10" s="131">
        <v>5.0954935937514996E-2</v>
      </c>
      <c r="F10" s="131">
        <v>4.6317356146689997E-2</v>
      </c>
      <c r="G10" s="131">
        <v>6.9293934779349989E-2</v>
      </c>
      <c r="H10" s="119" t="s">
        <v>12</v>
      </c>
      <c r="L10" s="153"/>
    </row>
    <row r="11" spans="1:12" ht="34" x14ac:dyDescent="0.2">
      <c r="A11" s="119" t="s">
        <v>49</v>
      </c>
      <c r="B11" s="119" t="s">
        <v>12</v>
      </c>
      <c r="C11" s="154">
        <v>0.13849955564277849</v>
      </c>
      <c r="D11" s="154">
        <v>0.17662747194506492</v>
      </c>
      <c r="E11" s="154">
        <v>0.17108699257127494</v>
      </c>
      <c r="F11" s="154">
        <v>0.12917801560914108</v>
      </c>
      <c r="G11" s="154">
        <v>0.16031318885621074</v>
      </c>
      <c r="H11" s="119" t="s">
        <v>12</v>
      </c>
      <c r="L11" s="153"/>
    </row>
    <row r="12" spans="1:12" ht="17" x14ac:dyDescent="0.2">
      <c r="A12" s="119" t="s">
        <v>50</v>
      </c>
      <c r="B12" s="131">
        <v>0.18094136267437999</v>
      </c>
      <c r="C12" s="131">
        <v>0.16843325901181996</v>
      </c>
      <c r="D12" s="131">
        <v>0.23842990056446001</v>
      </c>
      <c r="E12" s="131">
        <v>0.19982152528667999</v>
      </c>
      <c r="F12" s="131">
        <v>0.19367044491783997</v>
      </c>
      <c r="G12" s="131">
        <v>0.20042926520121998</v>
      </c>
      <c r="H12" s="131">
        <v>0.24805285059609997</v>
      </c>
      <c r="K12" s="131">
        <f>AVERAGE(B12:H12)</f>
        <v>0.20425408689321428</v>
      </c>
      <c r="L12" s="153">
        <f>STDEV(B12:H12)/K12</f>
        <v>0.14216593168215935</v>
      </c>
    </row>
    <row r="13" spans="1:12" ht="34" x14ac:dyDescent="0.2">
      <c r="A13" s="119" t="s">
        <v>51</v>
      </c>
      <c r="B13" s="154">
        <v>0.13009547085581694</v>
      </c>
      <c r="C13" s="154">
        <v>0.1607189709546733</v>
      </c>
      <c r="D13" s="154">
        <v>0.13412393550542542</v>
      </c>
      <c r="E13" s="154">
        <v>0.13834473547387885</v>
      </c>
      <c r="F13" s="154">
        <v>0.1354650303824626</v>
      </c>
      <c r="G13" s="154">
        <v>0.1382815424089662</v>
      </c>
      <c r="H13" s="154">
        <v>0.14823678572546531</v>
      </c>
      <c r="L13" s="153"/>
    </row>
    <row r="14" spans="1:12" ht="17" x14ac:dyDescent="0.2">
      <c r="A14" s="119" t="s">
        <v>52</v>
      </c>
      <c r="B14" s="155">
        <v>722.21855973256197</v>
      </c>
      <c r="C14" s="155">
        <v>545.56918951007856</v>
      </c>
      <c r="D14" s="155">
        <v>465.41309180067162</v>
      </c>
      <c r="E14" s="155">
        <v>360.29411159252845</v>
      </c>
      <c r="F14" s="155">
        <v>289.71791163815288</v>
      </c>
      <c r="G14" s="155">
        <v>116.69190203266032</v>
      </c>
      <c r="H14" s="155">
        <v>0</v>
      </c>
      <c r="L14" s="153"/>
    </row>
    <row r="15" spans="1:12" ht="17" x14ac:dyDescent="0.2">
      <c r="B15" s="77" t="s">
        <v>53</v>
      </c>
      <c r="C15" s="77"/>
      <c r="D15" s="77"/>
      <c r="E15" s="77"/>
      <c r="F15" s="77"/>
      <c r="G15" s="77"/>
      <c r="H15" s="77" t="s">
        <v>54</v>
      </c>
      <c r="L15" s="153"/>
    </row>
    <row r="16" spans="1:12" x14ac:dyDescent="0.2">
      <c r="L16" s="153"/>
    </row>
    <row r="17" spans="1:12" ht="34" x14ac:dyDescent="0.2">
      <c r="A17" s="152" t="s">
        <v>3</v>
      </c>
      <c r="B17" s="119" t="s">
        <v>55</v>
      </c>
      <c r="C17" s="119" t="s">
        <v>56</v>
      </c>
      <c r="D17" s="119" t="s">
        <v>57</v>
      </c>
      <c r="E17" s="119" t="s">
        <v>58</v>
      </c>
      <c r="F17" s="119" t="s">
        <v>59</v>
      </c>
      <c r="G17" s="119" t="s">
        <v>60</v>
      </c>
      <c r="H17" s="119" t="s">
        <v>61</v>
      </c>
      <c r="I17" s="119" t="s">
        <v>62</v>
      </c>
      <c r="J17" s="119" t="s">
        <v>63</v>
      </c>
      <c r="L17" s="153"/>
    </row>
    <row r="18" spans="1:12" ht="17" x14ac:dyDescent="0.2">
      <c r="A18" s="119" t="s">
        <v>44</v>
      </c>
      <c r="B18" s="125">
        <v>362.25964368000001</v>
      </c>
      <c r="C18" s="125">
        <v>436.87968192</v>
      </c>
      <c r="D18" s="125">
        <v>412.30590192</v>
      </c>
      <c r="E18" s="125">
        <v>556.73197489799998</v>
      </c>
      <c r="F18" s="125">
        <v>435.05349901200003</v>
      </c>
      <c r="G18" s="125">
        <v>385.40674022399998</v>
      </c>
      <c r="H18" s="125">
        <v>414.18228555000002</v>
      </c>
      <c r="I18" s="125">
        <v>413.78524347600001</v>
      </c>
      <c r="J18" s="125">
        <v>382.52248056000002</v>
      </c>
      <c r="K18" s="125">
        <f>AVERAGE(B18:J18)</f>
        <v>422.12527235999994</v>
      </c>
      <c r="L18" s="153">
        <f>STDEV(B18:J18)/K18</f>
        <v>0.13304588257974509</v>
      </c>
    </row>
    <row r="19" spans="1:12" ht="34" x14ac:dyDescent="0.2">
      <c r="A19" s="119" t="s">
        <v>45</v>
      </c>
      <c r="B19" s="154">
        <v>4.7377980975631645E-2</v>
      </c>
      <c r="C19" s="154">
        <v>4.6307297353359055E-2</v>
      </c>
      <c r="D19" s="154">
        <v>4.5509096754307421E-2</v>
      </c>
      <c r="E19" s="154">
        <v>5.5699061615388228E-2</v>
      </c>
      <c r="F19" s="154">
        <v>4.6618096226312786E-2</v>
      </c>
      <c r="G19" s="154">
        <v>4.7203738620571298E-2</v>
      </c>
      <c r="H19" s="154">
        <v>4.7886681279831644E-2</v>
      </c>
      <c r="I19" s="154">
        <v>4.7193438658434402E-2</v>
      </c>
      <c r="J19" s="154">
        <v>4.7648312940650174E-2</v>
      </c>
      <c r="L19" s="153"/>
    </row>
    <row r="20" spans="1:12" ht="17" x14ac:dyDescent="0.2">
      <c r="A20" s="119" t="s">
        <v>46</v>
      </c>
      <c r="B20" s="156">
        <v>42.129935550149995</v>
      </c>
      <c r="C20" s="156">
        <v>55.453161996299997</v>
      </c>
      <c r="D20" s="156">
        <v>57.1333887133</v>
      </c>
      <c r="E20" s="156">
        <v>59.296979034849997</v>
      </c>
      <c r="F20" s="156">
        <v>69.707634136850004</v>
      </c>
      <c r="G20" s="156">
        <v>60.1828232087</v>
      </c>
      <c r="H20" s="156">
        <v>62.11631878875</v>
      </c>
      <c r="I20" s="156">
        <v>48.278816188699999</v>
      </c>
      <c r="J20" s="156">
        <v>52.123332978699999</v>
      </c>
      <c r="K20" s="156">
        <f>AVERAGE(B20:J20)</f>
        <v>56.269154510699991</v>
      </c>
      <c r="L20" s="153">
        <f>STDEV(B20:J20)/K20</f>
        <v>0.1435046506694303</v>
      </c>
    </row>
    <row r="21" spans="1:12" ht="34" x14ac:dyDescent="0.2">
      <c r="A21" s="119" t="s">
        <v>47</v>
      </c>
      <c r="B21" s="154">
        <v>5.8308116185332458E-2</v>
      </c>
      <c r="C21" s="154">
        <v>5.8428899502587839E-2</v>
      </c>
      <c r="D21" s="154">
        <v>5.8473917972898727E-2</v>
      </c>
      <c r="E21" s="154">
        <v>5.8233395298758713E-2</v>
      </c>
      <c r="F21" s="154">
        <v>5.8411881361219282E-2</v>
      </c>
      <c r="G21" s="154">
        <v>5.8767443800387106E-2</v>
      </c>
      <c r="H21" s="154">
        <v>5.8608972547837694E-2</v>
      </c>
      <c r="I21" s="154">
        <v>5.8338897763575523E-2</v>
      </c>
      <c r="J21" s="154">
        <v>5.859472423839393E-2</v>
      </c>
      <c r="L21" s="153"/>
    </row>
    <row r="22" spans="1:12" ht="17" x14ac:dyDescent="0.2">
      <c r="A22" s="119" t="s">
        <v>48</v>
      </c>
      <c r="B22" s="131">
        <v>3.1667018015624999E-2</v>
      </c>
      <c r="C22" s="131">
        <v>3.1038509721924998E-2</v>
      </c>
      <c r="D22" s="119" t="s">
        <v>12</v>
      </c>
      <c r="E22" s="131">
        <v>3.3175703452599993E-2</v>
      </c>
      <c r="F22" s="131">
        <v>2.217414064157E-2</v>
      </c>
      <c r="G22" s="119" t="s">
        <v>12</v>
      </c>
      <c r="H22" s="131">
        <v>3.5879530323674996E-2</v>
      </c>
      <c r="I22" s="119" t="s">
        <v>12</v>
      </c>
      <c r="J22" s="119" t="s">
        <v>12</v>
      </c>
      <c r="L22" s="153"/>
    </row>
    <row r="23" spans="1:12" ht="34" x14ac:dyDescent="0.2">
      <c r="A23" s="119" t="s">
        <v>49</v>
      </c>
      <c r="B23" s="154">
        <v>0.13426935978922031</v>
      </c>
      <c r="C23" s="154">
        <v>0.16028180615749715</v>
      </c>
      <c r="D23" s="119" t="s">
        <v>12</v>
      </c>
      <c r="E23" s="154">
        <v>0.17426109335988194</v>
      </c>
      <c r="F23" s="154">
        <v>0.13664965753706482</v>
      </c>
      <c r="G23" s="119" t="s">
        <v>12</v>
      </c>
      <c r="H23" s="154">
        <v>0.12210447317364541</v>
      </c>
      <c r="I23" s="119" t="s">
        <v>12</v>
      </c>
      <c r="J23" s="119" t="s">
        <v>12</v>
      </c>
      <c r="L23" s="153"/>
    </row>
    <row r="24" spans="1:12" ht="17" x14ac:dyDescent="0.2">
      <c r="A24" s="119" t="s">
        <v>50</v>
      </c>
      <c r="B24" s="131">
        <v>0.12252061411105999</v>
      </c>
      <c r="C24" s="131">
        <v>0.11364554151521999</v>
      </c>
      <c r="D24" s="131">
        <v>0.12855876433619998</v>
      </c>
      <c r="E24" s="131">
        <v>0.15310860596702</v>
      </c>
      <c r="F24" s="119" t="s">
        <v>12</v>
      </c>
      <c r="G24" s="119" t="s">
        <v>12</v>
      </c>
      <c r="H24" s="131">
        <v>0.12058628672749999</v>
      </c>
      <c r="I24" s="131">
        <v>0.12281019694063998</v>
      </c>
      <c r="J24" s="119" t="s">
        <v>12</v>
      </c>
      <c r="K24" s="131">
        <f>AVERAGE(B24:J24)</f>
        <v>0.12687166826627333</v>
      </c>
      <c r="L24" s="153">
        <f>STDEV(B24:J24)/K24</f>
        <v>0.10813473073140273</v>
      </c>
    </row>
    <row r="25" spans="1:12" ht="34" x14ac:dyDescent="0.2">
      <c r="A25" s="119" t="s">
        <v>51</v>
      </c>
      <c r="B25" s="154">
        <v>0.16201691040115387</v>
      </c>
      <c r="C25" s="154">
        <v>0.15132616923509798</v>
      </c>
      <c r="D25" s="154">
        <v>0.12228401359532905</v>
      </c>
      <c r="E25" s="154">
        <v>0.14678809628731998</v>
      </c>
      <c r="F25" s="119" t="s">
        <v>12</v>
      </c>
      <c r="G25" s="119" t="s">
        <v>12</v>
      </c>
      <c r="H25" s="154">
        <v>0.13793219754422503</v>
      </c>
      <c r="I25" s="154">
        <v>0.1353162113406251</v>
      </c>
      <c r="J25" s="119" t="s">
        <v>12</v>
      </c>
      <c r="L25" s="153"/>
    </row>
    <row r="26" spans="1:12" ht="17" x14ac:dyDescent="0.2">
      <c r="A26" s="119" t="s">
        <v>52</v>
      </c>
      <c r="B26" s="125">
        <v>0</v>
      </c>
      <c r="C26" s="125">
        <v>226.63186007267382</v>
      </c>
      <c r="D26" s="125">
        <v>342.60599512010583</v>
      </c>
      <c r="E26" s="125">
        <v>502.42151376582433</v>
      </c>
      <c r="F26" s="125">
        <v>604.38719426666739</v>
      </c>
      <c r="G26" s="125">
        <v>723.7940617408625</v>
      </c>
      <c r="H26" s="125">
        <v>901.58326276274681</v>
      </c>
      <c r="I26" s="125">
        <v>1081.5221412743126</v>
      </c>
      <c r="J26" s="125">
        <v>1261.749775115519</v>
      </c>
      <c r="L26" s="153"/>
    </row>
    <row r="27" spans="1:12" ht="17" x14ac:dyDescent="0.2">
      <c r="B27" s="119" t="s">
        <v>54</v>
      </c>
      <c r="J27" s="119" t="s">
        <v>53</v>
      </c>
      <c r="L27" s="153"/>
    </row>
    <row r="28" spans="1:12" x14ac:dyDescent="0.2">
      <c r="L28" s="153"/>
    </row>
    <row r="29" spans="1:12" ht="34" x14ac:dyDescent="0.2">
      <c r="A29" s="152" t="s">
        <v>4</v>
      </c>
      <c r="B29" s="119" t="s">
        <v>64</v>
      </c>
      <c r="C29" s="119" t="s">
        <v>65</v>
      </c>
      <c r="D29" s="119" t="s">
        <v>66</v>
      </c>
      <c r="E29" s="119" t="s">
        <v>67</v>
      </c>
      <c r="F29" s="119" t="s">
        <v>68</v>
      </c>
      <c r="G29" s="119" t="s">
        <v>69</v>
      </c>
      <c r="H29" s="119" t="s">
        <v>70</v>
      </c>
      <c r="I29" s="119" t="s">
        <v>71</v>
      </c>
      <c r="J29" s="119" t="s">
        <v>72</v>
      </c>
      <c r="L29" s="153"/>
    </row>
    <row r="30" spans="1:12" ht="17" x14ac:dyDescent="0.2">
      <c r="A30" s="119" t="s">
        <v>44</v>
      </c>
      <c r="B30" s="125">
        <v>26334.90909126</v>
      </c>
      <c r="C30" s="125">
        <v>28580.078458800002</v>
      </c>
      <c r="D30" s="125">
        <v>28336.608467639999</v>
      </c>
      <c r="E30" s="125">
        <v>28820.452153680002</v>
      </c>
      <c r="F30" s="125">
        <v>28303.66204974</v>
      </c>
      <c r="G30" s="125">
        <v>28839.984798239999</v>
      </c>
      <c r="H30" s="125">
        <v>27286.237346940001</v>
      </c>
      <c r="I30" s="125">
        <v>28856.96528022</v>
      </c>
      <c r="J30" s="125">
        <v>29883.626213759999</v>
      </c>
      <c r="K30" s="125">
        <f>AVERAGE(B30:J30)</f>
        <v>28360.280428920003</v>
      </c>
      <c r="L30" s="153">
        <f>STDEV(B30:J30)/K30</f>
        <v>3.5952238664056189E-2</v>
      </c>
    </row>
    <row r="31" spans="1:12" ht="34" x14ac:dyDescent="0.2">
      <c r="A31" s="119" t="s">
        <v>45</v>
      </c>
      <c r="B31" s="154">
        <v>4.6337121938611107E-2</v>
      </c>
      <c r="C31" s="154">
        <v>4.5226211057078511E-2</v>
      </c>
      <c r="D31" s="154">
        <v>4.7282834650351692E-2</v>
      </c>
      <c r="E31" s="154">
        <v>4.6357756132850286E-2</v>
      </c>
      <c r="F31" s="154">
        <v>4.5177238167794745E-2</v>
      </c>
      <c r="G31" s="154">
        <v>4.665807412228553E-2</v>
      </c>
      <c r="H31" s="154">
        <v>4.6252130001819533E-2</v>
      </c>
      <c r="I31" s="154">
        <v>4.6036185886666352E-2</v>
      </c>
      <c r="J31" s="154">
        <v>4.5568279159115391E-2</v>
      </c>
      <c r="L31" s="153"/>
    </row>
    <row r="32" spans="1:12" ht="17" x14ac:dyDescent="0.2">
      <c r="A32" s="119" t="s">
        <v>46</v>
      </c>
      <c r="B32" s="125">
        <v>1575.3405605410001</v>
      </c>
      <c r="C32" s="125">
        <v>1819.3467724855</v>
      </c>
      <c r="D32" s="125">
        <v>1942.8302643930001</v>
      </c>
      <c r="E32" s="125">
        <v>1978.6645361474998</v>
      </c>
      <c r="F32" s="125">
        <v>1938.0698964405001</v>
      </c>
      <c r="G32" s="125">
        <v>1913.0595447619999</v>
      </c>
      <c r="H32" s="125">
        <v>1769.4923630025</v>
      </c>
      <c r="I32" s="125">
        <v>1882.9364796949999</v>
      </c>
      <c r="J32" s="125">
        <v>1578.1683796359998</v>
      </c>
      <c r="K32" s="125">
        <f>AVERAGE(B32:J32)</f>
        <v>1821.9898663447775</v>
      </c>
      <c r="L32" s="153">
        <f>STDEV(B32:J32)/K32</f>
        <v>8.4065519596379951E-2</v>
      </c>
    </row>
    <row r="33" spans="1:12" ht="34" x14ac:dyDescent="0.2">
      <c r="A33" s="119" t="s">
        <v>47</v>
      </c>
      <c r="B33" s="154">
        <v>5.8499041450731558E-2</v>
      </c>
      <c r="C33" s="154">
        <v>5.8262944187333417E-2</v>
      </c>
      <c r="D33" s="154">
        <v>5.9533440194966633E-2</v>
      </c>
      <c r="E33" s="154">
        <v>5.852509054448949E-2</v>
      </c>
      <c r="F33" s="154">
        <v>5.8202815098306618E-2</v>
      </c>
      <c r="G33" s="154">
        <v>5.9431390420187691E-2</v>
      </c>
      <c r="H33" s="154">
        <v>5.8665228029190657E-2</v>
      </c>
      <c r="I33" s="154">
        <v>5.9255308926555915E-2</v>
      </c>
      <c r="J33" s="154">
        <v>5.9288650380072479E-2</v>
      </c>
      <c r="L33" s="153"/>
    </row>
    <row r="34" spans="1:12" ht="17" x14ac:dyDescent="0.2">
      <c r="A34" s="119" t="s">
        <v>48</v>
      </c>
      <c r="B34" s="131">
        <v>0.89525998378749994</v>
      </c>
      <c r="C34" s="131">
        <v>0.53077259870869997</v>
      </c>
      <c r="D34" s="131">
        <v>0.42190876237419994</v>
      </c>
      <c r="E34" s="131">
        <v>0.43208561954914998</v>
      </c>
      <c r="F34" s="131">
        <v>0.44848018861094996</v>
      </c>
      <c r="G34" s="131">
        <v>0.58075265517249997</v>
      </c>
      <c r="H34" s="131">
        <v>0.515941210915</v>
      </c>
      <c r="I34" s="131">
        <v>0.49863648428384999</v>
      </c>
      <c r="J34" s="131">
        <v>0.51031193050099999</v>
      </c>
      <c r="L34" s="153"/>
    </row>
    <row r="35" spans="1:12" ht="34" x14ac:dyDescent="0.2">
      <c r="A35" s="119" t="s">
        <v>49</v>
      </c>
      <c r="B35" s="154">
        <v>7.3645629886902944E-2</v>
      </c>
      <c r="C35" s="154">
        <v>7.4127118825924251E-2</v>
      </c>
      <c r="D35" s="154">
        <v>9.9586038796386972E-2</v>
      </c>
      <c r="E35" s="154">
        <v>6.8985506165306146E-2</v>
      </c>
      <c r="F35" s="154">
        <v>8.3186675827855341E-2</v>
      </c>
      <c r="G35" s="154">
        <v>6.6937386565633805E-2</v>
      </c>
      <c r="H35" s="154">
        <v>8.1166635395459708E-2</v>
      </c>
      <c r="I35" s="154">
        <v>7.0085447224181238E-2</v>
      </c>
      <c r="J35" s="154">
        <v>6.6559148362862128E-2</v>
      </c>
      <c r="L35" s="153"/>
    </row>
    <row r="36" spans="1:12" ht="17" x14ac:dyDescent="0.2">
      <c r="A36" s="119" t="s">
        <v>50</v>
      </c>
      <c r="B36" s="131">
        <v>1.498989815774</v>
      </c>
      <c r="C36" s="131">
        <v>0.95591298553299986</v>
      </c>
      <c r="D36" s="131">
        <v>1.1539820432756001</v>
      </c>
      <c r="E36" s="131">
        <v>1.1202813451764</v>
      </c>
      <c r="F36" s="131">
        <v>1.0775983071171999</v>
      </c>
      <c r="G36" s="131">
        <v>1.0774199621064</v>
      </c>
      <c r="H36" s="131">
        <v>0.97131965124700004</v>
      </c>
      <c r="I36" s="131">
        <v>0.97928529446659995</v>
      </c>
      <c r="J36" s="131">
        <v>1.5823823806779997</v>
      </c>
      <c r="K36" s="131">
        <f>AVERAGE(B36:J36)</f>
        <v>1.1574635317082445</v>
      </c>
      <c r="L36" s="153">
        <f>STDEV(B36:J36)/K36</f>
        <v>0.19757929129466431</v>
      </c>
    </row>
    <row r="37" spans="1:12" ht="34" x14ac:dyDescent="0.2">
      <c r="A37" s="119" t="s">
        <v>51</v>
      </c>
      <c r="B37" s="154">
        <v>0.12501937064379071</v>
      </c>
      <c r="C37" s="154">
        <v>0.12132069372643668</v>
      </c>
      <c r="D37" s="154">
        <v>0.13948850741823685</v>
      </c>
      <c r="E37" s="154">
        <v>0.12626493758682461</v>
      </c>
      <c r="F37" s="154">
        <v>0.12230164487924887</v>
      </c>
      <c r="G37" s="154">
        <v>0.12616103476644727</v>
      </c>
      <c r="H37" s="154">
        <v>0.12155122160173469</v>
      </c>
      <c r="I37" s="154">
        <v>0.12176087859324025</v>
      </c>
      <c r="J37" s="154">
        <v>0.12841302216143624</v>
      </c>
      <c r="L37" s="153"/>
    </row>
    <row r="38" spans="1:12" ht="17" x14ac:dyDescent="0.2">
      <c r="A38" s="119" t="s">
        <v>52</v>
      </c>
      <c r="B38" s="125">
        <v>0</v>
      </c>
      <c r="C38" s="125">
        <v>254.01771591761076</v>
      </c>
      <c r="D38" s="125">
        <v>385.76368359783999</v>
      </c>
      <c r="E38" s="125">
        <v>504.61232683788711</v>
      </c>
      <c r="F38" s="125">
        <v>616.03943305536006</v>
      </c>
      <c r="G38" s="125">
        <v>854.76940603738842</v>
      </c>
      <c r="H38" s="125">
        <v>926.94973576786276</v>
      </c>
      <c r="I38" s="125">
        <v>992.24904663712084</v>
      </c>
      <c r="J38" s="125">
        <v>1085.6835156515056</v>
      </c>
      <c r="L38" s="153"/>
    </row>
    <row r="39" spans="1:12" ht="34" x14ac:dyDescent="0.2">
      <c r="B39" s="77" t="s">
        <v>73</v>
      </c>
      <c r="C39" s="77"/>
      <c r="D39" s="77"/>
      <c r="E39" s="77"/>
      <c r="F39" s="77" t="s">
        <v>53</v>
      </c>
      <c r="G39" s="77"/>
      <c r="H39" s="77"/>
      <c r="I39" s="77"/>
      <c r="J39" s="77" t="s">
        <v>74</v>
      </c>
      <c r="L39" s="153"/>
    </row>
  </sheetData>
  <mergeCells count="1">
    <mergeCell ref="A3:L3"/>
  </mergeCells>
  <phoneticPr fontId="16" type="noConversion"/>
  <pageMargins left="0.75" right="0.75" top="1" bottom="1" header="0.5" footer="0.5"/>
  <pageSetup scale="56" orientation="portrait" horizontalDpi="4294967292" verticalDpi="4294967292"/>
  <rowBreaks count="1" manualBreakCount="1">
    <brk id="49" max="16383" man="1"/>
  </rowBreaks>
  <colBreaks count="1" manualBreakCount="1">
    <brk id="1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Q43"/>
  <sheetViews>
    <sheetView zoomScale="90" zoomScaleNormal="90" zoomScalePageLayoutView="80" workbookViewId="0">
      <selection activeCell="A2" sqref="A1:A2"/>
    </sheetView>
  </sheetViews>
  <sheetFormatPr baseColWidth="10" defaultRowHeight="16" x14ac:dyDescent="0.2"/>
  <cols>
    <col min="1" max="1" width="37" style="35" customWidth="1"/>
    <col min="2" max="19" width="10.83203125" style="35"/>
    <col min="20" max="20" width="11.83203125" style="35" bestFit="1" customWidth="1"/>
    <col min="21" max="22" width="12.83203125" style="35" bestFit="1" customWidth="1"/>
    <col min="23" max="26" width="10.83203125" style="35"/>
    <col min="27" max="27" width="10.83203125" style="88"/>
    <col min="28" max="16384" width="10.83203125" style="35"/>
  </cols>
  <sheetData>
    <row r="1" spans="1:43" x14ac:dyDescent="0.2">
      <c r="A1" s="116" t="s">
        <v>697</v>
      </c>
    </row>
    <row r="2" spans="1:43" x14ac:dyDescent="0.2">
      <c r="A2" s="117" t="s">
        <v>698</v>
      </c>
    </row>
    <row r="3" spans="1:43" ht="34" x14ac:dyDescent="0.2">
      <c r="A3" s="103" t="s">
        <v>626</v>
      </c>
    </row>
    <row r="4" spans="1:43" x14ac:dyDescent="0.2">
      <c r="B4" s="136" t="s">
        <v>97</v>
      </c>
      <c r="C4" s="136"/>
      <c r="D4" s="136"/>
      <c r="E4" s="136" t="s">
        <v>98</v>
      </c>
      <c r="F4" s="136"/>
      <c r="G4" s="136"/>
      <c r="H4" s="136" t="s">
        <v>99</v>
      </c>
      <c r="I4" s="136"/>
      <c r="J4" s="136"/>
      <c r="K4" s="136"/>
      <c r="L4" s="136" t="s">
        <v>100</v>
      </c>
      <c r="M4" s="136"/>
      <c r="N4" s="136"/>
      <c r="O4" s="136"/>
      <c r="P4" s="136" t="s">
        <v>9</v>
      </c>
      <c r="Q4" s="136"/>
      <c r="R4" s="136"/>
      <c r="S4" s="136"/>
      <c r="T4" s="136" t="s">
        <v>480</v>
      </c>
      <c r="U4" s="136"/>
      <c r="V4" s="136"/>
      <c r="W4" s="136" t="s">
        <v>481</v>
      </c>
      <c r="X4" s="136"/>
      <c r="Y4" s="136"/>
      <c r="Z4" s="136" t="s">
        <v>482</v>
      </c>
      <c r="AA4" s="136"/>
      <c r="AB4" s="136"/>
      <c r="AC4" s="136" t="s">
        <v>483</v>
      </c>
      <c r="AD4" s="136"/>
      <c r="AE4" s="136"/>
      <c r="AF4" s="136" t="s">
        <v>484</v>
      </c>
      <c r="AG4" s="136"/>
      <c r="AH4" s="136"/>
      <c r="AI4" s="136" t="s">
        <v>485</v>
      </c>
      <c r="AJ4" s="136"/>
      <c r="AK4" s="136"/>
      <c r="AL4" s="136" t="s">
        <v>486</v>
      </c>
      <c r="AM4" s="136"/>
      <c r="AN4" s="136"/>
      <c r="AO4" s="136" t="s">
        <v>583</v>
      </c>
      <c r="AP4" s="136"/>
      <c r="AQ4" s="136"/>
    </row>
    <row r="5" spans="1:43" ht="51" x14ac:dyDescent="0.2">
      <c r="A5" s="22" t="s">
        <v>20</v>
      </c>
      <c r="B5" s="22" t="s">
        <v>24</v>
      </c>
      <c r="C5" s="22" t="s">
        <v>26</v>
      </c>
      <c r="D5" s="40" t="s">
        <v>28</v>
      </c>
      <c r="E5" s="22" t="s">
        <v>24</v>
      </c>
      <c r="F5" s="22" t="s">
        <v>26</v>
      </c>
      <c r="G5" s="40" t="s">
        <v>28</v>
      </c>
      <c r="H5" s="22" t="s">
        <v>24</v>
      </c>
      <c r="I5" s="22" t="s">
        <v>26</v>
      </c>
      <c r="J5" s="40" t="s">
        <v>28</v>
      </c>
      <c r="K5" s="40" t="s">
        <v>582</v>
      </c>
      <c r="L5" s="22" t="s">
        <v>24</v>
      </c>
      <c r="M5" s="22" t="s">
        <v>26</v>
      </c>
      <c r="N5" s="40" t="s">
        <v>28</v>
      </c>
      <c r="O5" s="40" t="s">
        <v>582</v>
      </c>
      <c r="P5" s="22" t="s">
        <v>24</v>
      </c>
      <c r="Q5" s="22" t="s">
        <v>26</v>
      </c>
      <c r="R5" s="40" t="s">
        <v>28</v>
      </c>
      <c r="S5" s="40" t="s">
        <v>582</v>
      </c>
      <c r="T5" s="35" t="s">
        <v>487</v>
      </c>
      <c r="U5" s="35" t="s">
        <v>488</v>
      </c>
      <c r="V5" s="35" t="s">
        <v>489</v>
      </c>
      <c r="W5" s="35" t="s">
        <v>490</v>
      </c>
      <c r="X5" s="35" t="s">
        <v>491</v>
      </c>
      <c r="Y5" s="35" t="s">
        <v>492</v>
      </c>
      <c r="Z5" s="35" t="s">
        <v>493</v>
      </c>
      <c r="AA5" s="35" t="s">
        <v>494</v>
      </c>
      <c r="AB5" s="35" t="s">
        <v>495</v>
      </c>
      <c r="AC5" s="35" t="s">
        <v>496</v>
      </c>
      <c r="AD5" s="35" t="s">
        <v>497</v>
      </c>
      <c r="AE5" s="35" t="s">
        <v>498</v>
      </c>
      <c r="AF5" s="35" t="s">
        <v>499</v>
      </c>
      <c r="AG5" s="35" t="s">
        <v>500</v>
      </c>
      <c r="AH5" s="35" t="s">
        <v>501</v>
      </c>
      <c r="AI5" s="35" t="s">
        <v>502</v>
      </c>
      <c r="AJ5" s="35" t="s">
        <v>503</v>
      </c>
      <c r="AK5" s="35" t="s">
        <v>504</v>
      </c>
      <c r="AL5" s="35" t="s">
        <v>505</v>
      </c>
      <c r="AM5" s="35" t="s">
        <v>506</v>
      </c>
      <c r="AN5" s="35" t="s">
        <v>507</v>
      </c>
      <c r="AO5" s="35" t="s">
        <v>584</v>
      </c>
      <c r="AP5" s="35" t="s">
        <v>585</v>
      </c>
      <c r="AQ5" s="35" t="s">
        <v>586</v>
      </c>
    </row>
    <row r="6" spans="1:43" ht="17" x14ac:dyDescent="0.2">
      <c r="A6" s="22" t="s">
        <v>11</v>
      </c>
      <c r="B6" s="157">
        <v>50.58</v>
      </c>
      <c r="C6" s="22">
        <v>0.18</v>
      </c>
      <c r="D6" s="106">
        <v>651.11</v>
      </c>
      <c r="E6" s="22">
        <v>8.92</v>
      </c>
      <c r="F6" s="22">
        <v>0.17</v>
      </c>
      <c r="G6" s="106">
        <v>113.39</v>
      </c>
      <c r="H6" s="40">
        <v>609.79999999999995</v>
      </c>
      <c r="I6" s="22">
        <v>2.13</v>
      </c>
      <c r="J6" s="106">
        <v>22451.53</v>
      </c>
      <c r="K6" s="106">
        <f>H6/I6</f>
        <v>286.29107981220659</v>
      </c>
      <c r="L6" s="6">
        <v>1812</v>
      </c>
      <c r="M6" s="5">
        <v>82.69</v>
      </c>
      <c r="N6" s="114">
        <v>18682</v>
      </c>
      <c r="O6" s="114">
        <f t="shared" ref="O6:O11" si="0">L6/M6</f>
        <v>21.913169669851253</v>
      </c>
      <c r="P6" s="106">
        <v>29700</v>
      </c>
      <c r="Q6" s="106">
        <v>510</v>
      </c>
      <c r="R6" s="106">
        <v>18800</v>
      </c>
      <c r="S6" s="106">
        <f t="shared" ref="S6:S11" si="1">P6/Q6</f>
        <v>58.235294117647058</v>
      </c>
      <c r="T6" s="157">
        <f t="shared" ref="T6:T11" si="2">B6/E6</f>
        <v>5.6704035874439462</v>
      </c>
      <c r="U6" s="22"/>
      <c r="V6" s="22">
        <f t="shared" ref="V6:V11" si="3">D6/G6</f>
        <v>5.7422171267307522</v>
      </c>
      <c r="W6" s="158">
        <f t="shared" ref="W6:W11" si="4">B6/L6</f>
        <v>2.7913907284768211E-2</v>
      </c>
      <c r="X6" s="158"/>
      <c r="Y6" s="158">
        <f t="shared" ref="Y6:Y11" si="5">D6/N6</f>
        <v>3.4852264211540522E-2</v>
      </c>
      <c r="Z6" s="158">
        <f t="shared" ref="Z6:Z11" si="6">E6/L6</f>
        <v>4.9227373068432669E-3</v>
      </c>
      <c r="AA6" s="4"/>
      <c r="AB6" s="158">
        <f t="shared" ref="AB6:AB11" si="7">G6/N6</f>
        <v>6.0694786425436248E-3</v>
      </c>
      <c r="AC6" s="157">
        <f t="shared" ref="AC6:AD7" si="8">L6/H6</f>
        <v>2.9714660544440803</v>
      </c>
      <c r="AD6" s="157">
        <f t="shared" si="8"/>
        <v>38.821596244131456</v>
      </c>
      <c r="AE6" s="157"/>
      <c r="AF6" s="159">
        <f t="shared" ref="AF6:AF11" si="9">B6/P6</f>
        <v>1.703030303030303E-3</v>
      </c>
      <c r="AG6" s="159"/>
      <c r="AH6" s="159">
        <f t="shared" ref="AH6:AH11" si="10">D6/R6</f>
        <v>3.4633510638297872E-2</v>
      </c>
      <c r="AI6" s="159">
        <f t="shared" ref="AI6:AK11" si="11">L6/P6</f>
        <v>6.1010101010101007E-2</v>
      </c>
      <c r="AJ6" s="159">
        <f t="shared" si="11"/>
        <v>0.16213725490196079</v>
      </c>
      <c r="AK6" s="159">
        <f t="shared" si="11"/>
        <v>0.99372340425531913</v>
      </c>
      <c r="AL6" s="159">
        <f t="shared" ref="AL6:AN7" si="12">B6/H6</f>
        <v>8.2945227943588065E-2</v>
      </c>
      <c r="AM6" s="159">
        <f t="shared" si="12"/>
        <v>8.4507042253521125E-2</v>
      </c>
      <c r="AN6" s="159">
        <f t="shared" si="12"/>
        <v>2.9000696166363721E-2</v>
      </c>
      <c r="AO6" s="159">
        <f t="shared" ref="AO6:AQ7" si="13">H6/P6</f>
        <v>2.053198653198653E-2</v>
      </c>
      <c r="AP6" s="159">
        <f t="shared" si="13"/>
        <v>4.1764705882352936E-3</v>
      </c>
      <c r="AQ6" s="159">
        <f t="shared" si="13"/>
        <v>1.1942303191489361</v>
      </c>
    </row>
    <row r="7" spans="1:43" ht="17" x14ac:dyDescent="0.2">
      <c r="A7" s="22" t="s">
        <v>13</v>
      </c>
      <c r="B7" s="157">
        <v>54.07</v>
      </c>
      <c r="C7" s="22">
        <v>0.13</v>
      </c>
      <c r="D7" s="108">
        <v>432.69</v>
      </c>
      <c r="E7" s="22">
        <v>7.76</v>
      </c>
      <c r="F7" s="22">
        <v>0.18</v>
      </c>
      <c r="G7" s="108">
        <v>124.75</v>
      </c>
      <c r="H7" s="40">
        <v>1821.99</v>
      </c>
      <c r="I7" s="22">
        <v>1.1599999999999999</v>
      </c>
      <c r="J7" s="108">
        <v>28360.28</v>
      </c>
      <c r="K7" s="106">
        <f>H7/I7</f>
        <v>1570.6810344827588</v>
      </c>
      <c r="L7" s="40">
        <v>4726.74</v>
      </c>
      <c r="M7" s="157">
        <v>11.6</v>
      </c>
      <c r="N7" s="108">
        <v>20187.37</v>
      </c>
      <c r="O7" s="114">
        <f t="shared" si="0"/>
        <v>407.47758620689655</v>
      </c>
      <c r="P7" s="108">
        <v>32540.740740740741</v>
      </c>
      <c r="Q7" s="108">
        <v>409.74074074074082</v>
      </c>
      <c r="R7" s="108">
        <v>15559.740740740723</v>
      </c>
      <c r="S7" s="106">
        <f t="shared" si="1"/>
        <v>79.417879417879405</v>
      </c>
      <c r="T7" s="157">
        <f t="shared" si="2"/>
        <v>6.9677835051546397</v>
      </c>
      <c r="U7" s="22"/>
      <c r="V7" s="22">
        <f t="shared" si="3"/>
        <v>3.4684569138276551</v>
      </c>
      <c r="W7" s="158">
        <f t="shared" si="4"/>
        <v>1.1439173722269472E-2</v>
      </c>
      <c r="X7" s="158"/>
      <c r="Y7" s="158">
        <f t="shared" si="5"/>
        <v>2.1433698396571717E-2</v>
      </c>
      <c r="Z7" s="158">
        <f t="shared" si="6"/>
        <v>1.6417234711450176E-3</v>
      </c>
      <c r="AA7" s="4"/>
      <c r="AB7" s="158">
        <f t="shared" si="7"/>
        <v>6.1796063578366082E-3</v>
      </c>
      <c r="AC7" s="157">
        <f t="shared" si="8"/>
        <v>2.5942732945844926</v>
      </c>
      <c r="AD7" s="157">
        <f t="shared" si="8"/>
        <v>10</v>
      </c>
      <c r="AE7" s="157"/>
      <c r="AF7" s="159">
        <f t="shared" si="9"/>
        <v>1.6616093785567949E-3</v>
      </c>
      <c r="AG7" s="159"/>
      <c r="AH7" s="159">
        <f t="shared" si="10"/>
        <v>2.7808303956316546E-2</v>
      </c>
      <c r="AI7" s="159">
        <f t="shared" si="11"/>
        <v>0.1452560664693831</v>
      </c>
      <c r="AJ7" s="159">
        <f t="shared" si="11"/>
        <v>2.8310584832323956E-2</v>
      </c>
      <c r="AK7" s="159">
        <f t="shared" si="11"/>
        <v>1.2974104348115878</v>
      </c>
      <c r="AL7" s="159">
        <f t="shared" si="12"/>
        <v>2.9676342899796378E-2</v>
      </c>
      <c r="AM7" s="159">
        <f t="shared" si="12"/>
        <v>0.1120689655172414</v>
      </c>
      <c r="AN7" s="159">
        <f t="shared" si="12"/>
        <v>1.5256901553863361E-2</v>
      </c>
      <c r="AO7" s="159">
        <f t="shared" si="13"/>
        <v>5.5991042567721375E-2</v>
      </c>
      <c r="AP7" s="159">
        <f t="shared" si="13"/>
        <v>2.8310584832323955E-3</v>
      </c>
      <c r="AQ7" s="159">
        <f t="shared" si="13"/>
        <v>1.8226704719920612</v>
      </c>
    </row>
    <row r="8" spans="1:43" ht="17" x14ac:dyDescent="0.2">
      <c r="A8" s="22" t="s">
        <v>14</v>
      </c>
      <c r="B8" s="157">
        <v>16.66</v>
      </c>
      <c r="C8" s="22">
        <v>0.08</v>
      </c>
      <c r="D8" s="106">
        <v>773.3</v>
      </c>
      <c r="E8" s="22">
        <v>2.0099999999999998</v>
      </c>
      <c r="F8" s="22">
        <v>0.1</v>
      </c>
      <c r="G8" s="106">
        <v>201.26</v>
      </c>
      <c r="H8" s="40"/>
      <c r="I8" s="22"/>
      <c r="J8" s="106"/>
      <c r="K8" s="106"/>
      <c r="L8" s="40">
        <v>1072.52</v>
      </c>
      <c r="M8" s="22">
        <v>0.64</v>
      </c>
      <c r="N8" s="106">
        <v>17951.59</v>
      </c>
      <c r="O8" s="114">
        <f t="shared" si="0"/>
        <v>1675.8125</v>
      </c>
      <c r="P8" s="106">
        <v>21509.999999999996</v>
      </c>
      <c r="Q8" s="106">
        <v>192.4</v>
      </c>
      <c r="R8" s="106">
        <v>32819.199999999852</v>
      </c>
      <c r="S8" s="106">
        <f t="shared" si="1"/>
        <v>111.79833679833678</v>
      </c>
      <c r="T8" s="157">
        <f t="shared" si="2"/>
        <v>8.2885572139303498</v>
      </c>
      <c r="U8" s="22"/>
      <c r="V8" s="22">
        <f t="shared" si="3"/>
        <v>3.8422935506310245</v>
      </c>
      <c r="W8" s="158">
        <f t="shared" si="4"/>
        <v>1.5533509864617909E-2</v>
      </c>
      <c r="X8" s="158"/>
      <c r="Y8" s="158">
        <f t="shared" si="5"/>
        <v>4.3076964213197823E-2</v>
      </c>
      <c r="Z8" s="158">
        <f t="shared" si="6"/>
        <v>1.874090926043337E-3</v>
      </c>
      <c r="AA8" s="4"/>
      <c r="AB8" s="158">
        <f t="shared" si="7"/>
        <v>1.1211263180587346E-2</v>
      </c>
      <c r="AC8" s="157"/>
      <c r="AD8" s="157"/>
      <c r="AE8" s="157"/>
      <c r="AF8" s="159">
        <f t="shared" si="9"/>
        <v>7.7452347745234789E-4</v>
      </c>
      <c r="AG8" s="159"/>
      <c r="AH8" s="159">
        <f t="shared" si="10"/>
        <v>2.356242687207499E-2</v>
      </c>
      <c r="AI8" s="159">
        <f t="shared" si="11"/>
        <v>4.9861459786145985E-2</v>
      </c>
      <c r="AJ8" s="159">
        <f t="shared" si="11"/>
        <v>3.3264033264033266E-3</v>
      </c>
      <c r="AK8" s="159">
        <f t="shared" si="11"/>
        <v>0.54698438718799003</v>
      </c>
      <c r="AL8" s="159"/>
      <c r="AM8" s="159"/>
      <c r="AN8" s="159"/>
      <c r="AO8" s="159"/>
      <c r="AP8" s="159"/>
      <c r="AQ8" s="159"/>
    </row>
    <row r="9" spans="1:43" ht="17" x14ac:dyDescent="0.2">
      <c r="A9" s="22" t="s">
        <v>15</v>
      </c>
      <c r="B9" s="22">
        <v>6.53</v>
      </c>
      <c r="C9" s="22">
        <v>0.11</v>
      </c>
      <c r="D9" s="106">
        <v>446.31</v>
      </c>
      <c r="E9" s="22">
        <v>1.73</v>
      </c>
      <c r="F9" s="22">
        <v>0.11</v>
      </c>
      <c r="G9" s="106">
        <v>85.1</v>
      </c>
      <c r="H9" s="40"/>
      <c r="I9" s="22"/>
      <c r="J9" s="106"/>
      <c r="K9" s="106"/>
      <c r="L9" s="40">
        <v>747.08</v>
      </c>
      <c r="M9" s="157">
        <v>10.34</v>
      </c>
      <c r="N9" s="106">
        <v>17292.27</v>
      </c>
      <c r="O9" s="114">
        <f t="shared" si="0"/>
        <v>72.2514506769826</v>
      </c>
      <c r="P9" s="106">
        <v>14688.888888888889</v>
      </c>
      <c r="Q9" s="106">
        <v>196.55555555555551</v>
      </c>
      <c r="R9" s="106">
        <v>41670.000000000015</v>
      </c>
      <c r="S9" s="106">
        <f t="shared" si="1"/>
        <v>74.731486715658576</v>
      </c>
      <c r="T9" s="157">
        <f t="shared" si="2"/>
        <v>3.7745664739884397</v>
      </c>
      <c r="U9" s="22"/>
      <c r="V9" s="22">
        <f t="shared" si="3"/>
        <v>5.2445358401880142</v>
      </c>
      <c r="W9" s="158">
        <f t="shared" si="4"/>
        <v>8.740697114097553E-3</v>
      </c>
      <c r="X9" s="158"/>
      <c r="Y9" s="158">
        <f t="shared" si="5"/>
        <v>2.5809798250894765E-2</v>
      </c>
      <c r="Z9" s="158">
        <f t="shared" si="6"/>
        <v>2.3156823901054773E-3</v>
      </c>
      <c r="AA9" s="4"/>
      <c r="AB9" s="158">
        <f t="shared" si="7"/>
        <v>4.9212740721721318E-3</v>
      </c>
      <c r="AC9" s="157"/>
      <c r="AD9" s="157"/>
      <c r="AE9" s="157"/>
      <c r="AF9" s="159">
        <f t="shared" si="9"/>
        <v>4.4455370650529501E-4</v>
      </c>
      <c r="AG9" s="159"/>
      <c r="AH9" s="159">
        <f t="shared" si="10"/>
        <v>1.0710583153347728E-2</v>
      </c>
      <c r="AI9" s="159">
        <f t="shared" si="11"/>
        <v>5.0860211800302577E-2</v>
      </c>
      <c r="AJ9" s="159">
        <f t="shared" si="11"/>
        <v>5.2605992085924258E-2</v>
      </c>
      <c r="AK9" s="159">
        <f t="shared" si="11"/>
        <v>0.41498128149748009</v>
      </c>
      <c r="AL9" s="159"/>
      <c r="AM9" s="159"/>
      <c r="AN9" s="159"/>
      <c r="AO9" s="159"/>
      <c r="AP9" s="159"/>
      <c r="AQ9" s="159"/>
    </row>
    <row r="10" spans="1:43" ht="17" x14ac:dyDescent="0.2">
      <c r="A10" s="22" t="s">
        <v>16</v>
      </c>
      <c r="B10" s="157">
        <v>13.52</v>
      </c>
      <c r="C10" s="22">
        <v>1.17</v>
      </c>
      <c r="D10" s="108">
        <v>770.05</v>
      </c>
      <c r="E10" s="22">
        <v>4.76</v>
      </c>
      <c r="F10" s="22">
        <v>0.11</v>
      </c>
      <c r="G10" s="40">
        <v>60.25</v>
      </c>
      <c r="H10" s="40"/>
      <c r="I10" s="22"/>
      <c r="J10" s="108"/>
      <c r="K10" s="108"/>
      <c r="L10" s="40">
        <v>563.07000000000005</v>
      </c>
      <c r="M10" s="157">
        <v>11.79</v>
      </c>
      <c r="N10" s="108">
        <v>23448.68</v>
      </c>
      <c r="O10" s="114">
        <f t="shared" si="0"/>
        <v>47.758269720101787</v>
      </c>
      <c r="P10" s="108">
        <v>14933.333333333332</v>
      </c>
      <c r="Q10" s="108">
        <v>304.4444444444444</v>
      </c>
      <c r="R10" s="108">
        <v>40213.44444444438</v>
      </c>
      <c r="S10" s="106">
        <f t="shared" si="1"/>
        <v>49.051094890510953</v>
      </c>
      <c r="T10" s="157">
        <f t="shared" si="2"/>
        <v>2.8403361344537816</v>
      </c>
      <c r="U10" s="40"/>
      <c r="V10" s="157">
        <f t="shared" si="3"/>
        <v>12.780912863070538</v>
      </c>
      <c r="W10" s="158">
        <f t="shared" si="4"/>
        <v>2.4011224181718079E-2</v>
      </c>
      <c r="X10" s="158"/>
      <c r="Y10" s="158">
        <f t="shared" si="5"/>
        <v>3.283980164341873E-2</v>
      </c>
      <c r="Z10" s="158">
        <f t="shared" si="6"/>
        <v>8.4536558509599145E-3</v>
      </c>
      <c r="AA10" s="4"/>
      <c r="AB10" s="158">
        <f t="shared" si="7"/>
        <v>2.569441009046138E-3</v>
      </c>
      <c r="AC10" s="157"/>
      <c r="AD10" s="157"/>
      <c r="AE10" s="157"/>
      <c r="AF10" s="159">
        <f t="shared" si="9"/>
        <v>9.0535714285714286E-4</v>
      </c>
      <c r="AG10" s="159"/>
      <c r="AH10" s="159">
        <f t="shared" si="10"/>
        <v>1.9149068443113305E-2</v>
      </c>
      <c r="AI10" s="159">
        <f t="shared" si="11"/>
        <v>3.7705580357142866E-2</v>
      </c>
      <c r="AJ10" s="159">
        <f t="shared" si="11"/>
        <v>3.872627737226278E-2</v>
      </c>
      <c r="AK10" s="159">
        <f t="shared" si="11"/>
        <v>0.58310548434603227</v>
      </c>
      <c r="AL10" s="159"/>
      <c r="AM10" s="159"/>
      <c r="AN10" s="159"/>
      <c r="AO10" s="159"/>
      <c r="AP10" s="159"/>
      <c r="AQ10" s="159"/>
    </row>
    <row r="11" spans="1:43" ht="17" x14ac:dyDescent="0.2">
      <c r="A11" s="22" t="s">
        <v>17</v>
      </c>
      <c r="B11" s="157">
        <v>33.17</v>
      </c>
      <c r="C11" s="22">
        <v>7.0000000000000007E-2</v>
      </c>
      <c r="D11" s="106">
        <v>444.84</v>
      </c>
      <c r="E11" s="22">
        <v>3.81</v>
      </c>
      <c r="F11" s="22">
        <v>0.08</v>
      </c>
      <c r="G11" s="108">
        <v>79.760000000000005</v>
      </c>
      <c r="H11" s="40">
        <v>645.23</v>
      </c>
      <c r="I11" s="22">
        <v>1.22</v>
      </c>
      <c r="J11" s="106">
        <v>26410.09</v>
      </c>
      <c r="K11" s="106">
        <f>H11/I11</f>
        <v>528.87704918032784</v>
      </c>
      <c r="L11" s="40">
        <v>1127.18</v>
      </c>
      <c r="M11" s="157">
        <v>15.45</v>
      </c>
      <c r="N11" s="106">
        <v>15747.48</v>
      </c>
      <c r="O11" s="114">
        <f t="shared" si="0"/>
        <v>72.956634304207128</v>
      </c>
      <c r="P11" s="106">
        <v>23422.222222222215</v>
      </c>
      <c r="Q11" s="106">
        <v>288.22222222222217</v>
      </c>
      <c r="R11" s="106">
        <v>39719.111111111117</v>
      </c>
      <c r="S11" s="106">
        <f t="shared" si="1"/>
        <v>81.264456437933688</v>
      </c>
      <c r="T11" s="157">
        <f t="shared" si="2"/>
        <v>8.7060367454068253</v>
      </c>
      <c r="U11" s="22"/>
      <c r="V11" s="22">
        <f t="shared" si="3"/>
        <v>5.5772316950852554</v>
      </c>
      <c r="W11" s="158">
        <f t="shared" si="4"/>
        <v>2.9427420642665767E-2</v>
      </c>
      <c r="X11" s="158"/>
      <c r="Y11" s="158">
        <f t="shared" si="5"/>
        <v>2.8248329256490561E-2</v>
      </c>
      <c r="Z11" s="158">
        <f t="shared" si="6"/>
        <v>3.3801167515392395E-3</v>
      </c>
      <c r="AA11" s="4"/>
      <c r="AB11" s="158">
        <f t="shared" si="7"/>
        <v>5.0649373741068421E-3</v>
      </c>
      <c r="AC11" s="157">
        <f>L11/H11</f>
        <v>1.7469429505757637</v>
      </c>
      <c r="AD11" s="157">
        <f>M11/I11</f>
        <v>12.663934426229508</v>
      </c>
      <c r="AE11" s="157"/>
      <c r="AF11" s="159">
        <f t="shared" si="9"/>
        <v>1.4161764705882358E-3</v>
      </c>
      <c r="AG11" s="159"/>
      <c r="AH11" s="159">
        <f t="shared" si="10"/>
        <v>1.1199646405872345E-2</v>
      </c>
      <c r="AI11" s="159">
        <f t="shared" si="11"/>
        <v>4.8124383301707797E-2</v>
      </c>
      <c r="AJ11" s="159">
        <f t="shared" si="11"/>
        <v>5.3604471858134162E-2</v>
      </c>
      <c r="AK11" s="159">
        <f t="shared" si="11"/>
        <v>0.39647110822665826</v>
      </c>
      <c r="AL11" s="159">
        <f>B11/H11</f>
        <v>5.1408025045332671E-2</v>
      </c>
      <c r="AM11" s="159">
        <f>C11/I11</f>
        <v>5.7377049180327877E-2</v>
      </c>
      <c r="AN11" s="159">
        <f>D11/J11</f>
        <v>1.6843562441475966E-2</v>
      </c>
      <c r="AO11" s="159">
        <f>H11/P11</f>
        <v>2.7547770398481983E-2</v>
      </c>
      <c r="AP11" s="159">
        <f>I11/Q11</f>
        <v>4.2328450269853513E-3</v>
      </c>
      <c r="AQ11" s="159">
        <f>J11/R11</f>
        <v>0.66492147636737975</v>
      </c>
    </row>
    <row r="12" spans="1:43" ht="17" x14ac:dyDescent="0.2">
      <c r="A12" s="35" t="s">
        <v>508</v>
      </c>
      <c r="T12" s="157">
        <f>AVERAGE(T6:T11)</f>
        <v>6.041280610062997</v>
      </c>
      <c r="U12" s="157"/>
      <c r="V12" s="157">
        <f t="shared" ref="V12:AK12" si="14">AVERAGE(V6:V11)</f>
        <v>6.1092746649222063</v>
      </c>
      <c r="W12" s="159">
        <f>AVERAGE(W6:W11)</f>
        <v>1.9510988801689499E-2</v>
      </c>
      <c r="X12" s="159"/>
      <c r="Y12" s="159">
        <f>AVERAGE(Y6:Y11)</f>
        <v>3.1043475995352357E-2</v>
      </c>
      <c r="Z12" s="159">
        <f t="shared" si="14"/>
        <v>3.7646677827727088E-3</v>
      </c>
      <c r="AA12" s="159"/>
      <c r="AB12" s="159">
        <f t="shared" si="14"/>
        <v>6.0026667727154483E-3</v>
      </c>
      <c r="AC12" s="22">
        <f>AVERAGE(AC6:AC7,AC11)</f>
        <v>2.4375607665347787</v>
      </c>
      <c r="AD12" s="157">
        <f>AVERAGE(AD6:AD7,AD11)</f>
        <v>20.495176890120323</v>
      </c>
      <c r="AE12" s="22"/>
      <c r="AF12" s="159">
        <f>AVERAGE(AF6:AF11)</f>
        <v>1.1508750798316866E-3</v>
      </c>
      <c r="AG12" s="159"/>
      <c r="AH12" s="159">
        <f t="shared" si="14"/>
        <v>2.1177256578170465E-2</v>
      </c>
      <c r="AI12" s="159">
        <f t="shared" si="14"/>
        <v>6.5469633787463899E-2</v>
      </c>
      <c r="AJ12" s="159">
        <f t="shared" si="14"/>
        <v>5.6451830729501544E-2</v>
      </c>
      <c r="AK12" s="159">
        <f t="shared" si="14"/>
        <v>0.70544601672084462</v>
      </c>
      <c r="AL12" s="159">
        <f t="shared" ref="AL12:AQ12" si="15">AVERAGE(AL6:AL11)</f>
        <v>5.4676531962905707E-2</v>
      </c>
      <c r="AM12" s="159">
        <f t="shared" si="15"/>
        <v>8.4651018983696799E-2</v>
      </c>
      <c r="AN12" s="159">
        <f t="shared" si="15"/>
        <v>2.0367053387234348E-2</v>
      </c>
      <c r="AO12" s="159">
        <f t="shared" si="15"/>
        <v>3.4690266499396626E-2</v>
      </c>
      <c r="AP12" s="159">
        <f t="shared" si="15"/>
        <v>3.7467913661510138E-3</v>
      </c>
      <c r="AQ12" s="159">
        <f t="shared" si="15"/>
        <v>1.2272740891694591</v>
      </c>
    </row>
    <row r="13" spans="1:43" ht="17" x14ac:dyDescent="0.2">
      <c r="A13" s="35" t="s">
        <v>509</v>
      </c>
      <c r="T13" s="157">
        <f>STDEV(T6:T11)</f>
        <v>2.3887726256919266</v>
      </c>
      <c r="U13" s="157"/>
      <c r="V13" s="157">
        <f t="shared" ref="V13:AN13" si="16">STDEV(V6:V11)</f>
        <v>3.3996897566436757</v>
      </c>
      <c r="W13" s="159">
        <f>STDEV(W6:W11)</f>
        <v>8.788293331161259E-3</v>
      </c>
      <c r="X13" s="159"/>
      <c r="Y13" s="159">
        <f t="shared" si="16"/>
        <v>7.6169619366427809E-3</v>
      </c>
      <c r="Z13" s="159">
        <f t="shared" si="16"/>
        <v>2.5944689511128017E-3</v>
      </c>
      <c r="AA13" s="159"/>
      <c r="AB13" s="159">
        <f t="shared" si="16"/>
        <v>2.8636003116690274E-3</v>
      </c>
      <c r="AC13" s="22">
        <f>STDEV(AC6:AC7,AC11)</f>
        <v>0.62712305037577987</v>
      </c>
      <c r="AD13" s="157">
        <f>STDEV(AD6:AD7,AD11)</f>
        <v>15.926938544840251</v>
      </c>
      <c r="AE13" s="22"/>
      <c r="AF13" s="159">
        <f>STDEV(AF6:AF11)</f>
        <v>5.170917154131389E-4</v>
      </c>
      <c r="AG13" s="159"/>
      <c r="AH13" s="159">
        <f t="shared" si="16"/>
        <v>9.4228244644189493E-3</v>
      </c>
      <c r="AI13" s="159">
        <f t="shared" si="16"/>
        <v>3.9785708379890643E-2</v>
      </c>
      <c r="AJ13" s="159">
        <f t="shared" si="16"/>
        <v>5.4992259108269062E-2</v>
      </c>
      <c r="AK13" s="159">
        <f t="shared" si="16"/>
        <v>0.36150747567167774</v>
      </c>
      <c r="AL13" s="159">
        <f t="shared" si="16"/>
        <v>2.6784433567929703E-2</v>
      </c>
      <c r="AM13" s="159">
        <f t="shared" si="16"/>
        <v>2.7346242431550066E-2</v>
      </c>
      <c r="AN13" s="159">
        <f t="shared" si="16"/>
        <v>7.5189237209376892E-3</v>
      </c>
      <c r="AO13" s="159">
        <f>STDEV(AO6:AO11)</f>
        <v>1.8777582422932718E-2</v>
      </c>
      <c r="AP13" s="159">
        <f>STDEV(AP6:AP11)</f>
        <v>7.9354870926738228E-4</v>
      </c>
      <c r="AQ13" s="159">
        <f>STDEV(AQ6:AQ11)</f>
        <v>0.57958140262638369</v>
      </c>
    </row>
    <row r="14" spans="1:43" s="153" customFormat="1" ht="16" customHeight="1" x14ac:dyDescent="0.2">
      <c r="H14" s="160"/>
      <c r="P14" s="160"/>
      <c r="T14" s="153">
        <f t="shared" ref="T14:AD14" si="17">T13/T12</f>
        <v>0.39540832149278643</v>
      </c>
      <c r="V14" s="153">
        <f t="shared" si="17"/>
        <v>0.55648009675580146</v>
      </c>
      <c r="W14" s="153">
        <f>W13/W12</f>
        <v>0.4504278804362935</v>
      </c>
      <c r="Y14" s="153">
        <f t="shared" si="17"/>
        <v>0.24536433799433888</v>
      </c>
      <c r="Z14" s="153">
        <f t="shared" si="17"/>
        <v>0.68916278960528998</v>
      </c>
      <c r="AB14" s="153">
        <f t="shared" si="17"/>
        <v>0.47705468587482663</v>
      </c>
      <c r="AC14" s="153">
        <f t="shared" si="17"/>
        <v>0.25727483761042563</v>
      </c>
      <c r="AD14" s="153">
        <f t="shared" si="17"/>
        <v>0.77710666417901542</v>
      </c>
      <c r="AF14" s="153">
        <f>AF13/AF12</f>
        <v>0.44930307769698397</v>
      </c>
      <c r="AH14" s="153">
        <f t="shared" ref="AH14:AN14" si="18">AH13/AH12</f>
        <v>0.44495019596315444</v>
      </c>
      <c r="AI14" s="153">
        <f t="shared" si="18"/>
        <v>0.6076971273284989</v>
      </c>
      <c r="AJ14" s="153">
        <f t="shared" si="18"/>
        <v>0.97414483104673322</v>
      </c>
      <c r="AK14" s="153">
        <f t="shared" si="18"/>
        <v>0.51245235936278821</v>
      </c>
      <c r="AL14" s="153">
        <f t="shared" si="18"/>
        <v>0.48987074721749202</v>
      </c>
      <c r="AM14" s="153">
        <f t="shared" si="18"/>
        <v>0.32304681928066054</v>
      </c>
      <c r="AN14" s="153">
        <f t="shared" si="18"/>
        <v>0.36917091431843529</v>
      </c>
      <c r="AO14" s="153">
        <f>AO13/AO12</f>
        <v>0.5412925387373233</v>
      </c>
      <c r="AP14" s="153">
        <f>AP13/AP12</f>
        <v>0.21179420782176492</v>
      </c>
      <c r="AQ14" s="153">
        <f>AQ13/AQ12</f>
        <v>0.47225098919721137</v>
      </c>
    </row>
    <row r="15" spans="1:43" x14ac:dyDescent="0.2">
      <c r="H15" s="160"/>
      <c r="P15" s="160"/>
    </row>
    <row r="16" spans="1:43" x14ac:dyDescent="0.2">
      <c r="H16" s="160"/>
      <c r="P16" s="160"/>
    </row>
    <row r="17" spans="1:42" x14ac:dyDescent="0.2">
      <c r="H17" s="160"/>
      <c r="P17" s="160"/>
    </row>
    <row r="18" spans="1:42" ht="17" x14ac:dyDescent="0.2">
      <c r="A18" s="161" t="s">
        <v>510</v>
      </c>
      <c r="H18" s="160"/>
      <c r="P18" s="160"/>
    </row>
    <row r="19" spans="1:42" ht="17" x14ac:dyDescent="0.2">
      <c r="A19" s="35" t="s">
        <v>95</v>
      </c>
      <c r="H19" s="160"/>
      <c r="P19" s="160"/>
    </row>
    <row r="20" spans="1:42" ht="17" x14ac:dyDescent="0.2">
      <c r="A20" s="35" t="s">
        <v>511</v>
      </c>
      <c r="B20" s="22">
        <f>(12.3+11.4+9.5)/3</f>
        <v>11.066666666666668</v>
      </c>
      <c r="C20" s="35">
        <f>(79+127+145)/3</f>
        <v>117</v>
      </c>
      <c r="E20" s="35">
        <v>3.89</v>
      </c>
      <c r="F20" s="35">
        <v>64</v>
      </c>
      <c r="P20" s="153"/>
      <c r="T20" s="157">
        <f>B20/E20</f>
        <v>2.84490145672665</v>
      </c>
      <c r="U20" s="157"/>
    </row>
    <row r="21" spans="1:42" ht="17" x14ac:dyDescent="0.2">
      <c r="A21" s="35" t="s">
        <v>512</v>
      </c>
      <c r="B21" s="35">
        <f>(21.9+12.2)/2</f>
        <v>17.049999999999997</v>
      </c>
      <c r="C21" s="35">
        <f>(97+46.7)/2</f>
        <v>71.849999999999994</v>
      </c>
      <c r="E21" s="35">
        <v>18.61</v>
      </c>
      <c r="F21" s="35">
        <v>9.4</v>
      </c>
      <c r="H21" s="35">
        <f>(348+305)/2</f>
        <v>326.5</v>
      </c>
      <c r="I21" s="35">
        <f>(37.5+43)/2</f>
        <v>40.25</v>
      </c>
      <c r="K21" s="157">
        <f>H21/I21</f>
        <v>8.1118012422360248</v>
      </c>
      <c r="T21" s="157">
        <f>B21/E21</f>
        <v>0.91617409994626531</v>
      </c>
      <c r="U21" s="157"/>
    </row>
    <row r="22" spans="1:42" ht="17" x14ac:dyDescent="0.2">
      <c r="A22" s="35" t="s">
        <v>513</v>
      </c>
      <c r="B22" s="35">
        <f>(5.78+6.48)/2</f>
        <v>6.1300000000000008</v>
      </c>
      <c r="C22" s="35">
        <f>(20.8+200)/2</f>
        <v>110.4</v>
      </c>
      <c r="E22" s="35">
        <v>4.5</v>
      </c>
      <c r="F22" s="35">
        <v>14.9</v>
      </c>
      <c r="K22" s="157"/>
      <c r="T22" s="157">
        <f>B22/E22</f>
        <v>1.3622222222222224</v>
      </c>
      <c r="U22" s="157"/>
    </row>
    <row r="23" spans="1:42" ht="17" x14ac:dyDescent="0.2">
      <c r="A23" s="35" t="s">
        <v>514</v>
      </c>
      <c r="E23" s="35">
        <v>8.1999999999999993</v>
      </c>
      <c r="F23" s="35">
        <v>53</v>
      </c>
      <c r="H23" s="35">
        <v>428</v>
      </c>
      <c r="I23" s="35">
        <v>65</v>
      </c>
      <c r="K23" s="157">
        <f>H23/I23</f>
        <v>6.5846153846153843</v>
      </c>
    </row>
    <row r="24" spans="1:42" x14ac:dyDescent="0.2">
      <c r="K24" s="157"/>
    </row>
    <row r="25" spans="1:42" ht="17" x14ac:dyDescent="0.2">
      <c r="A25" s="35" t="s">
        <v>96</v>
      </c>
      <c r="K25" s="157"/>
      <c r="AA25" s="35"/>
    </row>
    <row r="26" spans="1:42" ht="17" x14ac:dyDescent="0.2">
      <c r="A26" s="35" t="s">
        <v>515</v>
      </c>
      <c r="H26" s="35">
        <v>1880</v>
      </c>
      <c r="I26" s="35">
        <v>1.56</v>
      </c>
      <c r="K26" s="40">
        <f>H26/I26</f>
        <v>1205.1282051282051</v>
      </c>
      <c r="P26" s="35">
        <v>9260</v>
      </c>
      <c r="Q26" s="35">
        <v>80</v>
      </c>
      <c r="S26" s="40">
        <f>P26/Q26</f>
        <v>115.75</v>
      </c>
      <c r="AA26" s="35"/>
      <c r="AO26" s="158">
        <f t="shared" ref="AO26:AP28" si="19">H26/P26</f>
        <v>0.20302375809935205</v>
      </c>
      <c r="AP26" s="158">
        <f t="shared" si="19"/>
        <v>1.95E-2</v>
      </c>
    </row>
    <row r="27" spans="1:42" ht="17" x14ac:dyDescent="0.2">
      <c r="A27" s="35" t="s">
        <v>516</v>
      </c>
      <c r="H27" s="35">
        <v>1333</v>
      </c>
      <c r="I27" s="35">
        <v>66.75</v>
      </c>
      <c r="K27" s="40">
        <f>H27/I27</f>
        <v>19.970037453183522</v>
      </c>
      <c r="P27" s="35">
        <v>29480</v>
      </c>
      <c r="Q27" s="35">
        <v>38</v>
      </c>
      <c r="S27" s="40">
        <f>P27/Q27</f>
        <v>775.78947368421052</v>
      </c>
      <c r="AA27" s="35"/>
      <c r="AF27" s="88"/>
      <c r="AO27" s="158">
        <f t="shared" si="19"/>
        <v>4.521709633649932E-2</v>
      </c>
      <c r="AP27" s="158">
        <f t="shared" si="19"/>
        <v>1.756578947368421</v>
      </c>
    </row>
    <row r="28" spans="1:42" ht="17" x14ac:dyDescent="0.2">
      <c r="A28" s="35" t="s">
        <v>517</v>
      </c>
      <c r="H28" s="35">
        <v>190</v>
      </c>
      <c r="I28" s="35">
        <v>43.2</v>
      </c>
      <c r="K28" s="157">
        <f>H28/I28</f>
        <v>4.3981481481481479</v>
      </c>
      <c r="P28" s="35">
        <v>17680</v>
      </c>
      <c r="Q28" s="35">
        <v>76.5</v>
      </c>
      <c r="S28" s="40">
        <f>P28/Q28</f>
        <v>231.11111111111111</v>
      </c>
      <c r="Y28" s="162"/>
      <c r="Z28" s="162"/>
      <c r="AA28" s="162"/>
      <c r="AB28" s="162"/>
      <c r="AE28" s="162"/>
      <c r="AF28" s="163"/>
      <c r="AG28" s="162"/>
      <c r="AH28" s="162"/>
      <c r="AK28" s="162"/>
      <c r="AL28" s="162"/>
      <c r="AM28" s="162"/>
      <c r="AN28" s="162"/>
      <c r="AO28" s="158">
        <f t="shared" si="19"/>
        <v>1.0746606334841629E-2</v>
      </c>
      <c r="AP28" s="158">
        <f t="shared" si="19"/>
        <v>0.56470588235294117</v>
      </c>
    </row>
    <row r="29" spans="1:42" x14ac:dyDescent="0.2">
      <c r="K29" s="157"/>
      <c r="S29" s="40"/>
      <c r="AA29" s="35"/>
      <c r="AO29" s="158"/>
      <c r="AP29" s="158"/>
    </row>
    <row r="30" spans="1:42" x14ac:dyDescent="0.2">
      <c r="K30" s="157"/>
      <c r="S30" s="40"/>
      <c r="AA30" s="35"/>
      <c r="AO30" s="158"/>
      <c r="AP30" s="158"/>
    </row>
    <row r="31" spans="1:42" ht="17" x14ac:dyDescent="0.2">
      <c r="A31" s="35" t="s">
        <v>94</v>
      </c>
      <c r="K31" s="157"/>
      <c r="S31" s="40"/>
      <c r="AA31" s="35"/>
      <c r="AO31" s="158"/>
      <c r="AP31" s="158"/>
    </row>
    <row r="32" spans="1:42" ht="17" x14ac:dyDescent="0.2">
      <c r="A32" s="35" t="s">
        <v>518</v>
      </c>
      <c r="K32" s="157"/>
      <c r="L32" s="35">
        <v>218</v>
      </c>
      <c r="M32" s="35">
        <v>46</v>
      </c>
      <c r="O32" s="157">
        <f>L32/M32</f>
        <v>4.7391304347826084</v>
      </c>
      <c r="P32" s="35">
        <v>30600</v>
      </c>
      <c r="Q32" s="35" t="s">
        <v>12</v>
      </c>
      <c r="S32" s="40"/>
      <c r="AA32" s="35"/>
      <c r="AI32" s="159">
        <f>L32/P32</f>
        <v>7.1241830065359481E-3</v>
      </c>
      <c r="AJ32" s="159"/>
      <c r="AK32" s="164"/>
      <c r="AO32" s="158"/>
      <c r="AP32" s="158"/>
    </row>
    <row r="33" spans="1:42" ht="17" x14ac:dyDescent="0.2">
      <c r="A33" s="35" t="s">
        <v>519</v>
      </c>
      <c r="H33" s="35">
        <v>503</v>
      </c>
      <c r="I33" s="35">
        <v>77</v>
      </c>
      <c r="K33" s="157">
        <f>H33/I33</f>
        <v>6.5324675324675328</v>
      </c>
      <c r="L33" s="35">
        <v>335</v>
      </c>
      <c r="M33" s="35">
        <v>97</v>
      </c>
      <c r="O33" s="157">
        <f>L33/M33</f>
        <v>3.4536082474226806</v>
      </c>
      <c r="P33" s="35">
        <v>30590</v>
      </c>
      <c r="Q33" s="35">
        <v>130</v>
      </c>
      <c r="S33" s="40">
        <f t="shared" ref="S33:S38" si="20">P33/Q33</f>
        <v>235.30769230769232</v>
      </c>
      <c r="AA33" s="35"/>
      <c r="AC33" s="22">
        <f>L33/H33</f>
        <v>0.66600397614314111</v>
      </c>
      <c r="AD33" s="22">
        <f>M33/I33</f>
        <v>1.2597402597402598</v>
      </c>
      <c r="AE33" s="157"/>
      <c r="AI33" s="159">
        <f>L33/P33</f>
        <v>1.0951291271657405E-2</v>
      </c>
      <c r="AJ33" s="159">
        <f>M33/Q33</f>
        <v>0.74615384615384617</v>
      </c>
      <c r="AK33" s="164"/>
      <c r="AO33" s="158">
        <f>H33/P33</f>
        <v>1.6443282118339328E-2</v>
      </c>
      <c r="AP33" s="158">
        <f>I33/Q33</f>
        <v>0.59230769230769231</v>
      </c>
    </row>
    <row r="34" spans="1:42" ht="17" x14ac:dyDescent="0.2">
      <c r="A34" s="35" t="s">
        <v>520</v>
      </c>
      <c r="K34" s="157"/>
      <c r="O34" s="157"/>
      <c r="P34" s="35">
        <v>32790</v>
      </c>
      <c r="Q34" s="35">
        <v>163</v>
      </c>
      <c r="S34" s="40">
        <f t="shared" si="20"/>
        <v>201.16564417177915</v>
      </c>
      <c r="AA34" s="35"/>
      <c r="AC34" s="22"/>
      <c r="AD34" s="22"/>
      <c r="AI34" s="159"/>
      <c r="AJ34" s="159"/>
      <c r="AK34" s="164"/>
      <c r="AO34" s="158"/>
      <c r="AP34" s="158"/>
    </row>
    <row r="35" spans="1:42" ht="17" x14ac:dyDescent="0.2">
      <c r="A35" s="35" t="s">
        <v>521</v>
      </c>
      <c r="H35" s="35">
        <v>572</v>
      </c>
      <c r="I35" s="35">
        <v>21</v>
      </c>
      <c r="K35" s="40">
        <f>H35/I35</f>
        <v>27.238095238095237</v>
      </c>
      <c r="L35" s="35">
        <v>390</v>
      </c>
      <c r="M35" s="35">
        <v>18</v>
      </c>
      <c r="O35" s="157">
        <f>L35/M35</f>
        <v>21.666666666666668</v>
      </c>
      <c r="P35" s="35">
        <v>29560</v>
      </c>
      <c r="Q35" s="35">
        <v>60</v>
      </c>
      <c r="S35" s="40">
        <f t="shared" si="20"/>
        <v>492.66666666666669</v>
      </c>
      <c r="AA35" s="35"/>
      <c r="AC35" s="22">
        <f>L35/H35</f>
        <v>0.68181818181818177</v>
      </c>
      <c r="AD35" s="22">
        <f>M35/I35</f>
        <v>0.8571428571428571</v>
      </c>
      <c r="AI35" s="159">
        <f>L35/P35</f>
        <v>1.3193504736129905E-2</v>
      </c>
      <c r="AJ35" s="159">
        <f>M35/Q35</f>
        <v>0.3</v>
      </c>
      <c r="AK35" s="164"/>
      <c r="AO35" s="158">
        <f>H35/P35</f>
        <v>1.9350473612990526E-2</v>
      </c>
      <c r="AP35" s="158">
        <f>I35/Q35</f>
        <v>0.35</v>
      </c>
    </row>
    <row r="36" spans="1:42" ht="17" x14ac:dyDescent="0.2">
      <c r="A36" s="35" t="s">
        <v>522</v>
      </c>
      <c r="K36" s="157"/>
      <c r="O36" s="157"/>
      <c r="P36" s="35">
        <v>35070</v>
      </c>
      <c r="Q36" s="35">
        <v>108</v>
      </c>
      <c r="S36" s="40">
        <f t="shared" si="20"/>
        <v>324.72222222222223</v>
      </c>
      <c r="AA36" s="35"/>
      <c r="AC36" s="22"/>
      <c r="AD36" s="22"/>
      <c r="AI36" s="159"/>
      <c r="AJ36" s="159"/>
      <c r="AK36" s="164"/>
      <c r="AO36" s="158"/>
      <c r="AP36" s="158"/>
    </row>
    <row r="37" spans="1:42" ht="17" x14ac:dyDescent="0.2">
      <c r="A37" s="35" t="s">
        <v>523</v>
      </c>
      <c r="K37" s="157"/>
      <c r="L37" s="35">
        <v>256</v>
      </c>
      <c r="M37" s="35">
        <v>46</v>
      </c>
      <c r="O37" s="157">
        <f>L37/M37</f>
        <v>5.5652173913043477</v>
      </c>
      <c r="P37" s="35">
        <v>31800</v>
      </c>
      <c r="Q37" s="35">
        <v>113</v>
      </c>
      <c r="S37" s="40">
        <f t="shared" si="20"/>
        <v>281.4159292035398</v>
      </c>
      <c r="AA37" s="35"/>
      <c r="AC37" s="22"/>
      <c r="AD37" s="22"/>
      <c r="AI37" s="159">
        <f>L37/P37</f>
        <v>8.0503144654088046E-3</v>
      </c>
      <c r="AJ37" s="159">
        <f>M37/Q37</f>
        <v>0.40707964601769914</v>
      </c>
      <c r="AK37" s="164"/>
      <c r="AO37" s="158"/>
      <c r="AP37" s="158"/>
    </row>
    <row r="38" spans="1:42" ht="17" x14ac:dyDescent="0.2">
      <c r="A38" s="35" t="s">
        <v>524</v>
      </c>
      <c r="H38" s="35">
        <v>372</v>
      </c>
      <c r="I38" s="35">
        <v>69</v>
      </c>
      <c r="K38" s="157">
        <f>H38/I38</f>
        <v>5.3913043478260869</v>
      </c>
      <c r="L38" s="35">
        <v>84</v>
      </c>
      <c r="M38" s="35">
        <v>87</v>
      </c>
      <c r="O38" s="157">
        <f>L38/M38</f>
        <v>0.96551724137931039</v>
      </c>
      <c r="P38" s="35">
        <v>28770</v>
      </c>
      <c r="Q38" s="35">
        <v>253</v>
      </c>
      <c r="S38" s="40">
        <f t="shared" si="20"/>
        <v>113.71541501976284</v>
      </c>
      <c r="AA38" s="35"/>
      <c r="AC38" s="22">
        <f>L38/H38</f>
        <v>0.22580645161290322</v>
      </c>
      <c r="AD38" s="22">
        <f>M38/I38</f>
        <v>1.2608695652173914</v>
      </c>
      <c r="AI38" s="159">
        <f>L38/P38</f>
        <v>2.9197080291970801E-3</v>
      </c>
      <c r="AJ38" s="159">
        <f>M38/Q38</f>
        <v>0.34387351778656128</v>
      </c>
      <c r="AK38" s="164"/>
      <c r="AO38" s="158">
        <f>H38/P38</f>
        <v>1.2930135557872785E-2</v>
      </c>
      <c r="AP38" s="158">
        <f>I38/Q38</f>
        <v>0.27272727272727271</v>
      </c>
    </row>
    <row r="39" spans="1:42" x14ac:dyDescent="0.2">
      <c r="AA39" s="35"/>
    </row>
    <row r="40" spans="1:42" x14ac:dyDescent="0.2">
      <c r="AA40" s="35"/>
    </row>
    <row r="41" spans="1:42" x14ac:dyDescent="0.2">
      <c r="AA41" s="35"/>
      <c r="AO41" s="158"/>
      <c r="AP41" s="158"/>
    </row>
    <row r="42" spans="1:42" x14ac:dyDescent="0.2">
      <c r="AA42" s="35"/>
    </row>
    <row r="43" spans="1:42" x14ac:dyDescent="0.2">
      <c r="AA43" s="35"/>
    </row>
  </sheetData>
  <mergeCells count="13">
    <mergeCell ref="AO4:AQ4"/>
    <mergeCell ref="AL4:AN4"/>
    <mergeCell ref="B4:D4"/>
    <mergeCell ref="E4:G4"/>
    <mergeCell ref="T4:V4"/>
    <mergeCell ref="W4:Y4"/>
    <mergeCell ref="Z4:AB4"/>
    <mergeCell ref="AC4:AE4"/>
    <mergeCell ref="AF4:AH4"/>
    <mergeCell ref="AI4:AK4"/>
    <mergeCell ref="H4:K4"/>
    <mergeCell ref="L4:O4"/>
    <mergeCell ref="P4:S4"/>
  </mergeCells>
  <phoneticPr fontId="16" type="noConversion"/>
  <pageMargins left="0.75" right="0.75" top="1" bottom="1" header="0.5" footer="0.5"/>
  <pageSetup scale="16" orientation="portrait" horizontalDpi="4294967292" verticalDpi="4294967292"/>
  <rowBreaks count="1" manualBreakCount="1">
    <brk id="40" max="16383" man="1"/>
  </rowBreaks>
  <colBreaks count="1" manualBreakCount="1">
    <brk id="4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K89"/>
  <sheetViews>
    <sheetView zoomScaleNormal="100" zoomScalePageLayoutView="70" workbookViewId="0">
      <selection sqref="A1:A2"/>
    </sheetView>
  </sheetViews>
  <sheetFormatPr baseColWidth="10" defaultRowHeight="16" x14ac:dyDescent="0.2"/>
  <cols>
    <col min="1" max="1" width="21.6640625" style="77" customWidth="1"/>
    <col min="2" max="16384" width="10.83203125" style="77"/>
  </cols>
  <sheetData>
    <row r="1" spans="1:37" x14ac:dyDescent="0.2">
      <c r="A1" s="116" t="s">
        <v>697</v>
      </c>
    </row>
    <row r="2" spans="1:37" x14ac:dyDescent="0.2">
      <c r="A2" s="117" t="s">
        <v>698</v>
      </c>
    </row>
    <row r="3" spans="1:37" x14ac:dyDescent="0.2">
      <c r="A3" s="245" t="s">
        <v>627</v>
      </c>
      <c r="B3" s="245"/>
      <c r="C3" s="245"/>
      <c r="D3" s="245"/>
      <c r="E3" s="245"/>
      <c r="F3" s="245"/>
    </row>
    <row r="4" spans="1:37" x14ac:dyDescent="0.2">
      <c r="A4" s="46"/>
      <c r="B4" s="46"/>
      <c r="C4" s="165" t="s">
        <v>75</v>
      </c>
      <c r="D4" s="166"/>
      <c r="E4" s="166"/>
      <c r="F4" s="166"/>
      <c r="G4" s="167"/>
      <c r="H4" s="168" t="s">
        <v>76</v>
      </c>
      <c r="I4" s="169"/>
      <c r="J4" s="169"/>
      <c r="K4" s="169"/>
      <c r="L4" s="170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</row>
    <row r="5" spans="1:37" ht="48" x14ac:dyDescent="0.2">
      <c r="A5" s="42"/>
      <c r="B5" s="43" t="s">
        <v>525</v>
      </c>
      <c r="C5" s="171" t="s">
        <v>526</v>
      </c>
      <c r="D5" s="171" t="s">
        <v>527</v>
      </c>
      <c r="E5" s="43"/>
      <c r="F5" s="171" t="s">
        <v>526</v>
      </c>
      <c r="G5" s="171" t="s">
        <v>527</v>
      </c>
      <c r="H5" s="171" t="s">
        <v>526</v>
      </c>
      <c r="I5" s="171" t="s">
        <v>527</v>
      </c>
      <c r="J5" s="45"/>
      <c r="K5" s="171" t="s">
        <v>526</v>
      </c>
      <c r="L5" s="171" t="s">
        <v>527</v>
      </c>
      <c r="M5" s="172" t="s">
        <v>528</v>
      </c>
      <c r="O5" s="46"/>
      <c r="P5" s="173" t="s">
        <v>75</v>
      </c>
      <c r="Q5" s="173"/>
      <c r="R5" s="173"/>
      <c r="S5" s="173"/>
      <c r="T5" s="174" t="s">
        <v>529</v>
      </c>
      <c r="U5" s="174"/>
      <c r="V5" s="174"/>
      <c r="W5" s="174"/>
      <c r="X5" s="174"/>
      <c r="Y5" s="174"/>
      <c r="Z5" s="174"/>
      <c r="AA5" s="174"/>
      <c r="AB5" s="43"/>
      <c r="AC5" s="46"/>
      <c r="AD5" s="46"/>
      <c r="AE5" s="46"/>
      <c r="AF5" s="46"/>
      <c r="AG5" s="46"/>
      <c r="AH5" s="46"/>
      <c r="AI5" s="46"/>
      <c r="AJ5" s="46"/>
      <c r="AK5" s="46"/>
    </row>
    <row r="6" spans="1:37" ht="17" x14ac:dyDescent="0.2">
      <c r="A6" s="175" t="s">
        <v>530</v>
      </c>
      <c r="B6" s="176">
        <v>2</v>
      </c>
      <c r="C6" s="177">
        <v>99.74</v>
      </c>
      <c r="D6" s="178">
        <v>10</v>
      </c>
      <c r="E6" s="179" t="s">
        <v>86</v>
      </c>
      <c r="F6" s="180">
        <v>91.94</v>
      </c>
      <c r="G6" s="181">
        <v>8.85</v>
      </c>
      <c r="H6" s="182">
        <v>130.97999999999999</v>
      </c>
      <c r="I6" s="182">
        <v>13.13</v>
      </c>
      <c r="J6" s="183" t="s">
        <v>86</v>
      </c>
      <c r="K6" s="182">
        <v>114.56</v>
      </c>
      <c r="L6" s="184">
        <v>11.04</v>
      </c>
      <c r="M6" s="185">
        <v>1</v>
      </c>
      <c r="N6" s="186"/>
      <c r="O6" s="187"/>
      <c r="P6" s="188"/>
      <c r="Q6" s="188"/>
      <c r="R6" s="189" t="s">
        <v>531</v>
      </c>
      <c r="S6" s="189"/>
      <c r="T6" s="190"/>
      <c r="U6" s="190"/>
      <c r="V6" s="189" t="s">
        <v>509</v>
      </c>
      <c r="W6" s="189"/>
      <c r="X6" s="189" t="s">
        <v>532</v>
      </c>
      <c r="Y6" s="189"/>
      <c r="Z6" s="189" t="s">
        <v>532</v>
      </c>
      <c r="AA6" s="189"/>
      <c r="AB6" s="43"/>
      <c r="AC6" s="46"/>
      <c r="AD6" s="46"/>
      <c r="AE6" s="46"/>
      <c r="AF6" s="191"/>
      <c r="AG6" s="191"/>
      <c r="AH6" s="191"/>
      <c r="AI6" s="191"/>
      <c r="AJ6" s="191"/>
      <c r="AK6" s="191"/>
    </row>
    <row r="7" spans="1:37" ht="17" x14ac:dyDescent="0.2">
      <c r="A7" s="192" t="s">
        <v>533</v>
      </c>
      <c r="B7" s="193">
        <v>3</v>
      </c>
      <c r="C7" s="194">
        <v>84.72</v>
      </c>
      <c r="D7" s="195">
        <v>8.35</v>
      </c>
      <c r="E7" s="193" t="s">
        <v>534</v>
      </c>
      <c r="F7" s="194">
        <v>7.53</v>
      </c>
      <c r="G7" s="195">
        <v>1</v>
      </c>
      <c r="H7" s="182">
        <v>102.35</v>
      </c>
      <c r="I7" s="182">
        <v>10.09</v>
      </c>
      <c r="J7" s="183" t="s">
        <v>534</v>
      </c>
      <c r="K7" s="194">
        <v>14.77</v>
      </c>
      <c r="L7" s="195">
        <v>1.81</v>
      </c>
      <c r="M7" s="196">
        <v>2</v>
      </c>
      <c r="N7" s="46"/>
      <c r="O7" s="197" t="s">
        <v>20</v>
      </c>
      <c r="P7" s="171" t="s">
        <v>526</v>
      </c>
      <c r="Q7" s="171" t="s">
        <v>527</v>
      </c>
      <c r="R7" s="190" t="s">
        <v>535</v>
      </c>
      <c r="S7" s="190" t="s">
        <v>536</v>
      </c>
      <c r="T7" s="171" t="s">
        <v>526</v>
      </c>
      <c r="U7" s="171" t="s">
        <v>527</v>
      </c>
      <c r="V7" s="171" t="s">
        <v>526</v>
      </c>
      <c r="W7" s="171" t="s">
        <v>527</v>
      </c>
      <c r="X7" s="190" t="s">
        <v>82</v>
      </c>
      <c r="Y7" s="190" t="s">
        <v>83</v>
      </c>
      <c r="Z7" s="171" t="s">
        <v>526</v>
      </c>
      <c r="AA7" s="171" t="s">
        <v>527</v>
      </c>
      <c r="AB7" s="46"/>
      <c r="AC7" s="46"/>
      <c r="AD7" s="46"/>
      <c r="AE7" s="46"/>
      <c r="AF7" s="191"/>
      <c r="AG7" s="191"/>
      <c r="AH7" s="191"/>
      <c r="AI7" s="191"/>
      <c r="AJ7" s="191"/>
      <c r="AK7" s="191"/>
    </row>
    <row r="8" spans="1:37" ht="17" x14ac:dyDescent="0.2">
      <c r="A8" s="198"/>
      <c r="B8" s="199">
        <v>4</v>
      </c>
      <c r="C8" s="200">
        <v>91.34</v>
      </c>
      <c r="D8" s="201">
        <v>8.1999999999999993</v>
      </c>
      <c r="E8" s="202" t="s">
        <v>537</v>
      </c>
      <c r="F8" s="203">
        <v>0.08</v>
      </c>
      <c r="G8" s="203">
        <v>0.11</v>
      </c>
      <c r="H8" s="182">
        <v>110.35</v>
      </c>
      <c r="I8" s="182">
        <v>9.9</v>
      </c>
      <c r="J8" s="204" t="s">
        <v>537</v>
      </c>
      <c r="K8" s="205">
        <v>0.12889999999999999</v>
      </c>
      <c r="L8" s="203">
        <v>0.16</v>
      </c>
      <c r="M8" s="206">
        <v>2</v>
      </c>
      <c r="N8" s="187"/>
      <c r="O8" s="46" t="s">
        <v>84</v>
      </c>
      <c r="P8" s="207">
        <v>91.94</v>
      </c>
      <c r="Q8" s="207">
        <v>8.85</v>
      </c>
      <c r="R8" s="208">
        <v>0.22500000000000001</v>
      </c>
      <c r="S8" s="208">
        <v>0.23</v>
      </c>
      <c r="T8" s="209">
        <v>114.56</v>
      </c>
      <c r="U8" s="209">
        <v>11.04</v>
      </c>
      <c r="V8" s="210">
        <v>14.77</v>
      </c>
      <c r="W8" s="210">
        <v>1.81</v>
      </c>
      <c r="X8" s="211">
        <v>0.1305</v>
      </c>
      <c r="Y8" s="211">
        <v>0.1991</v>
      </c>
      <c r="Z8" s="210">
        <v>14.95</v>
      </c>
      <c r="AA8" s="210">
        <v>2.2000000000000002</v>
      </c>
      <c r="AB8" s="46"/>
      <c r="AC8" s="46"/>
      <c r="AD8" s="46"/>
      <c r="AE8" s="46"/>
      <c r="AF8" s="46"/>
      <c r="AG8" s="46"/>
      <c r="AH8" s="46"/>
      <c r="AI8" s="46"/>
      <c r="AJ8" s="46"/>
      <c r="AK8" s="46"/>
    </row>
    <row r="9" spans="1:37" x14ac:dyDescent="0.2">
      <c r="A9" s="46"/>
      <c r="B9" s="212"/>
      <c r="C9" s="212"/>
      <c r="D9" s="212"/>
      <c r="E9" s="212"/>
      <c r="F9" s="212"/>
      <c r="G9" s="212"/>
      <c r="H9" s="182"/>
      <c r="I9" s="182"/>
      <c r="J9" s="212"/>
      <c r="K9" s="212"/>
      <c r="L9" s="212"/>
      <c r="M9" s="213"/>
      <c r="N9" s="46"/>
      <c r="O9" s="46" t="s">
        <v>36</v>
      </c>
      <c r="P9" s="207">
        <v>108.51</v>
      </c>
      <c r="Q9" s="207">
        <v>7.05</v>
      </c>
      <c r="R9" s="208">
        <v>0.49</v>
      </c>
      <c r="S9" s="208">
        <v>0.34399999999999997</v>
      </c>
      <c r="T9" s="209">
        <v>136.83000000000001</v>
      </c>
      <c r="U9" s="209">
        <v>8.85</v>
      </c>
      <c r="V9" s="210">
        <v>68.010000000000005</v>
      </c>
      <c r="W9" s="210">
        <v>2.93</v>
      </c>
      <c r="X9" s="211">
        <v>0.4975</v>
      </c>
      <c r="Y9" s="211">
        <v>0.3498</v>
      </c>
      <c r="Z9" s="210">
        <v>68.069999999999993</v>
      </c>
      <c r="AA9" s="210">
        <v>3.09</v>
      </c>
      <c r="AB9" s="46"/>
      <c r="AC9" s="46"/>
      <c r="AD9" s="46"/>
      <c r="AE9" s="46"/>
      <c r="AF9" s="46"/>
      <c r="AG9" s="46"/>
      <c r="AH9" s="46"/>
      <c r="AI9" s="46"/>
      <c r="AJ9" s="46"/>
      <c r="AK9" s="46"/>
    </row>
    <row r="10" spans="1:37" ht="17" x14ac:dyDescent="0.2">
      <c r="A10" s="214" t="s">
        <v>538</v>
      </c>
      <c r="B10" s="215">
        <v>2</v>
      </c>
      <c r="C10" s="216">
        <v>163.91</v>
      </c>
      <c r="D10" s="217">
        <v>9.27</v>
      </c>
      <c r="E10" s="218" t="s">
        <v>86</v>
      </c>
      <c r="F10" s="219">
        <v>108.51</v>
      </c>
      <c r="G10" s="220">
        <v>7.05</v>
      </c>
      <c r="H10" s="182">
        <v>215.24</v>
      </c>
      <c r="I10" s="182">
        <v>12.17</v>
      </c>
      <c r="J10" s="221" t="s">
        <v>86</v>
      </c>
      <c r="K10" s="219">
        <v>136.83000000000001</v>
      </c>
      <c r="L10" s="220">
        <v>8.85</v>
      </c>
      <c r="M10" s="222">
        <v>1</v>
      </c>
      <c r="N10" s="186"/>
      <c r="O10" s="46" t="s">
        <v>85</v>
      </c>
      <c r="P10" s="207">
        <v>152.25</v>
      </c>
      <c r="Q10" s="207">
        <v>5.37</v>
      </c>
      <c r="R10" s="208">
        <v>0.21099999999999999</v>
      </c>
      <c r="S10" s="208">
        <v>0.32800000000000001</v>
      </c>
      <c r="T10" s="209">
        <v>189.25</v>
      </c>
      <c r="U10" s="209">
        <v>6.73</v>
      </c>
      <c r="V10" s="210">
        <v>10.02</v>
      </c>
      <c r="W10" s="210">
        <v>2.04</v>
      </c>
      <c r="X10" s="211">
        <v>5.6599999999999998E-2</v>
      </c>
      <c r="Y10" s="211">
        <v>0.32390000000000002</v>
      </c>
      <c r="Z10" s="210">
        <v>10.71</v>
      </c>
      <c r="AA10" s="210">
        <v>2.1800000000000002</v>
      </c>
      <c r="AB10" s="43"/>
      <c r="AC10" s="197"/>
      <c r="AD10" s="197"/>
      <c r="AE10" s="197"/>
      <c r="AF10" s="197"/>
      <c r="AG10" s="197"/>
      <c r="AH10" s="197"/>
      <c r="AI10" s="197"/>
      <c r="AJ10" s="197"/>
      <c r="AK10" s="197"/>
    </row>
    <row r="11" spans="1:37" ht="17" x14ac:dyDescent="0.2">
      <c r="A11" s="48" t="s">
        <v>539</v>
      </c>
      <c r="B11" s="223">
        <v>3</v>
      </c>
      <c r="C11" s="49">
        <v>77.69</v>
      </c>
      <c r="D11" s="224">
        <v>6.4</v>
      </c>
      <c r="E11" s="49" t="s">
        <v>534</v>
      </c>
      <c r="F11" s="49">
        <v>48.08</v>
      </c>
      <c r="G11" s="224">
        <v>1.97</v>
      </c>
      <c r="H11" s="182">
        <v>93.86</v>
      </c>
      <c r="I11" s="182">
        <v>7.73</v>
      </c>
      <c r="J11" s="225" t="s">
        <v>534</v>
      </c>
      <c r="K11" s="49">
        <v>68.010000000000005</v>
      </c>
      <c r="L11" s="224">
        <v>2.93</v>
      </c>
      <c r="M11" s="206">
        <v>2</v>
      </c>
      <c r="N11" s="187"/>
      <c r="O11" s="46" t="s">
        <v>15</v>
      </c>
      <c r="P11" s="207">
        <v>154.37</v>
      </c>
      <c r="Q11" s="207">
        <v>9.06</v>
      </c>
      <c r="R11" s="208">
        <v>0.30199999999999999</v>
      </c>
      <c r="S11" s="208">
        <v>0.28100000000000003</v>
      </c>
      <c r="T11" s="209">
        <v>193.23</v>
      </c>
      <c r="U11" s="209">
        <v>11.34</v>
      </c>
      <c r="V11" s="210">
        <v>51.97</v>
      </c>
      <c r="W11" s="210">
        <v>2.8</v>
      </c>
      <c r="X11" s="211">
        <v>0.26910000000000001</v>
      </c>
      <c r="Y11" s="211">
        <v>0.27379999999999999</v>
      </c>
      <c r="Z11" s="210">
        <v>52</v>
      </c>
      <c r="AA11" s="210">
        <v>3.1</v>
      </c>
      <c r="AB11" s="43"/>
      <c r="AC11" s="46"/>
      <c r="AD11" s="46"/>
      <c r="AE11" s="46"/>
      <c r="AF11" s="46"/>
      <c r="AG11" s="46"/>
      <c r="AH11" s="46"/>
      <c r="AI11" s="46"/>
      <c r="AJ11" s="46"/>
      <c r="AK11" s="46"/>
    </row>
    <row r="12" spans="1:37" ht="17" x14ac:dyDescent="0.2">
      <c r="A12" s="226"/>
      <c r="B12" s="227">
        <v>4</v>
      </c>
      <c r="C12" s="202">
        <v>83.92</v>
      </c>
      <c r="D12" s="228">
        <v>5.49</v>
      </c>
      <c r="E12" s="202" t="s">
        <v>537</v>
      </c>
      <c r="F12" s="203">
        <v>0.44</v>
      </c>
      <c r="G12" s="203">
        <v>0.28000000000000003</v>
      </c>
      <c r="H12" s="182">
        <v>101.39</v>
      </c>
      <c r="I12" s="182">
        <v>6.64</v>
      </c>
      <c r="J12" s="204" t="s">
        <v>537</v>
      </c>
      <c r="K12" s="205">
        <v>0.49709999999999999</v>
      </c>
      <c r="L12" s="205">
        <v>0.33119999999999999</v>
      </c>
      <c r="M12" s="206">
        <v>2</v>
      </c>
      <c r="N12" s="187"/>
      <c r="O12" s="46" t="s">
        <v>16</v>
      </c>
      <c r="P12" s="207">
        <v>160.25</v>
      </c>
      <c r="Q12" s="207">
        <v>16.059999999999999</v>
      </c>
      <c r="R12" s="208">
        <v>0.21099999999999999</v>
      </c>
      <c r="S12" s="208">
        <v>0.20799999999999999</v>
      </c>
      <c r="T12" s="209">
        <v>199.28</v>
      </c>
      <c r="U12" s="209">
        <v>19.940000000000001</v>
      </c>
      <c r="V12" s="210">
        <v>12.35</v>
      </c>
      <c r="W12" s="210">
        <v>0.52</v>
      </c>
      <c r="X12" s="211">
        <v>6.2700000000000006E-2</v>
      </c>
      <c r="Y12" s="211">
        <v>0.1208</v>
      </c>
      <c r="Z12" s="210">
        <v>12.49</v>
      </c>
      <c r="AA12" s="210">
        <v>2.41</v>
      </c>
      <c r="AB12" s="43"/>
      <c r="AC12" s="46"/>
      <c r="AD12" s="46"/>
      <c r="AE12" s="46"/>
      <c r="AF12" s="46"/>
      <c r="AG12" s="46"/>
      <c r="AH12" s="46"/>
      <c r="AI12" s="46"/>
      <c r="AJ12" s="46"/>
      <c r="AK12" s="46"/>
    </row>
    <row r="13" spans="1:37" x14ac:dyDescent="0.2">
      <c r="A13" s="46"/>
      <c r="B13" s="212"/>
      <c r="C13" s="212"/>
      <c r="D13" s="212"/>
      <c r="E13" s="212"/>
      <c r="F13" s="212"/>
      <c r="G13" s="212"/>
      <c r="H13" s="182"/>
      <c r="I13" s="182"/>
      <c r="J13" s="212"/>
      <c r="K13" s="212"/>
      <c r="L13" s="212"/>
      <c r="M13" s="213"/>
      <c r="N13" s="46"/>
      <c r="O13" s="46" t="s">
        <v>17</v>
      </c>
      <c r="P13" s="207">
        <v>111.6</v>
      </c>
      <c r="Q13" s="207">
        <v>7.1</v>
      </c>
      <c r="R13" s="208">
        <v>0.21099999999999999</v>
      </c>
      <c r="S13" s="208">
        <v>0.21199999999999999</v>
      </c>
      <c r="T13" s="209">
        <v>138.78</v>
      </c>
      <c r="U13" s="209">
        <v>8.84</v>
      </c>
      <c r="V13" s="210">
        <v>9.02</v>
      </c>
      <c r="W13" s="210">
        <v>1.04</v>
      </c>
      <c r="X13" s="211">
        <v>6.5699999999999995E-2</v>
      </c>
      <c r="Y13" s="211">
        <v>0.16650000000000001</v>
      </c>
      <c r="Z13" s="210">
        <v>9.11</v>
      </c>
      <c r="AA13" s="210">
        <v>1.47</v>
      </c>
      <c r="AB13" s="46"/>
      <c r="AC13" s="46"/>
      <c r="AD13" s="46"/>
      <c r="AE13" s="46"/>
      <c r="AF13" s="46"/>
      <c r="AG13" s="46"/>
      <c r="AH13" s="46"/>
      <c r="AI13" s="46"/>
      <c r="AJ13" s="46"/>
      <c r="AK13" s="46"/>
    </row>
    <row r="14" spans="1:37" ht="17" x14ac:dyDescent="0.2">
      <c r="A14" s="175" t="s">
        <v>540</v>
      </c>
      <c r="B14" s="176">
        <v>2</v>
      </c>
      <c r="C14" s="177">
        <v>151.97999999999999</v>
      </c>
      <c r="D14" s="178">
        <v>6.73</v>
      </c>
      <c r="E14" s="229" t="s">
        <v>86</v>
      </c>
      <c r="F14" s="180">
        <v>152.25</v>
      </c>
      <c r="G14" s="181">
        <v>5.37</v>
      </c>
      <c r="H14" s="182">
        <v>199.58</v>
      </c>
      <c r="I14" s="182">
        <v>8.84</v>
      </c>
      <c r="J14" s="230" t="s">
        <v>86</v>
      </c>
      <c r="K14" s="180">
        <v>189.25</v>
      </c>
      <c r="L14" s="181">
        <v>6.73</v>
      </c>
      <c r="M14" s="185">
        <v>1</v>
      </c>
      <c r="N14" s="187"/>
      <c r="O14" s="46" t="s">
        <v>541</v>
      </c>
      <c r="P14" s="46"/>
      <c r="Q14" s="46"/>
      <c r="R14" s="46"/>
      <c r="S14" s="46"/>
      <c r="T14" s="43"/>
      <c r="U14" s="43"/>
      <c r="V14" s="43"/>
      <c r="W14" s="43"/>
      <c r="X14" s="43"/>
      <c r="Y14" s="43"/>
      <c r="Z14" s="43"/>
      <c r="AA14" s="43"/>
      <c r="AB14" s="43"/>
      <c r="AC14" s="46"/>
      <c r="AD14" s="46"/>
      <c r="AE14" s="46"/>
      <c r="AF14" s="46"/>
      <c r="AG14" s="46"/>
      <c r="AH14" s="46"/>
      <c r="AI14" s="46"/>
      <c r="AJ14" s="46"/>
      <c r="AK14" s="46"/>
    </row>
    <row r="15" spans="1:37" ht="17" x14ac:dyDescent="0.2">
      <c r="A15" s="192" t="s">
        <v>542</v>
      </c>
      <c r="B15" s="193">
        <v>3</v>
      </c>
      <c r="C15" s="194">
        <v>148.65</v>
      </c>
      <c r="D15" s="195">
        <v>5.44</v>
      </c>
      <c r="E15" s="194" t="s">
        <v>534</v>
      </c>
      <c r="F15" s="194">
        <v>3.74</v>
      </c>
      <c r="G15" s="195">
        <v>1.4</v>
      </c>
      <c r="H15" s="182">
        <v>179.58</v>
      </c>
      <c r="I15" s="182">
        <v>6.57</v>
      </c>
      <c r="J15" s="231" t="s">
        <v>534</v>
      </c>
      <c r="K15" s="194">
        <v>10.02</v>
      </c>
      <c r="L15" s="195">
        <v>2.04</v>
      </c>
      <c r="M15" s="196">
        <v>2</v>
      </c>
      <c r="N15" s="187"/>
      <c r="O15" s="46"/>
      <c r="P15" s="46"/>
      <c r="Q15" s="46"/>
      <c r="R15" s="46"/>
      <c r="S15" s="46"/>
      <c r="T15" s="43"/>
      <c r="U15" s="43"/>
      <c r="V15" s="43"/>
      <c r="W15" s="43"/>
      <c r="X15" s="43"/>
      <c r="Y15" s="43"/>
      <c r="Z15" s="43"/>
      <c r="AA15" s="43"/>
      <c r="AB15" s="43"/>
      <c r="AC15" s="46"/>
      <c r="AD15" s="46"/>
      <c r="AE15" s="46"/>
      <c r="AF15" s="46"/>
      <c r="AG15" s="46"/>
      <c r="AH15" s="46"/>
      <c r="AI15" s="46"/>
      <c r="AJ15" s="46"/>
      <c r="AK15" s="46"/>
    </row>
    <row r="16" spans="1:37" ht="17" x14ac:dyDescent="0.2">
      <c r="A16" s="198"/>
      <c r="B16" s="199">
        <v>4</v>
      </c>
      <c r="C16" s="200">
        <v>156.12</v>
      </c>
      <c r="D16" s="201">
        <v>3.94</v>
      </c>
      <c r="E16" s="202" t="s">
        <v>537</v>
      </c>
      <c r="F16" s="203">
        <v>0.02</v>
      </c>
      <c r="G16" s="203">
        <v>0.26</v>
      </c>
      <c r="H16" s="182">
        <v>188.61</v>
      </c>
      <c r="I16" s="182">
        <v>4.76</v>
      </c>
      <c r="J16" s="204" t="s">
        <v>537</v>
      </c>
      <c r="K16" s="232">
        <v>5.2999999999999999E-2</v>
      </c>
      <c r="L16" s="232">
        <v>0.30399999999999999</v>
      </c>
      <c r="M16" s="206">
        <v>2</v>
      </c>
      <c r="N16" s="187"/>
      <c r="O16" s="46"/>
      <c r="P16" s="46"/>
      <c r="Q16" s="46"/>
      <c r="R16" s="46"/>
      <c r="S16" s="46"/>
      <c r="T16" s="43"/>
      <c r="U16" s="43"/>
      <c r="V16" s="43"/>
      <c r="W16" s="43"/>
      <c r="X16" s="43"/>
      <c r="Y16" s="43"/>
      <c r="Z16" s="43"/>
      <c r="AA16" s="43"/>
      <c r="AB16" s="43"/>
      <c r="AC16" s="46"/>
      <c r="AD16" s="46"/>
      <c r="AE16" s="46"/>
      <c r="AF16" s="46"/>
      <c r="AG16" s="46"/>
      <c r="AH16" s="46"/>
      <c r="AI16" s="46"/>
      <c r="AJ16" s="46"/>
      <c r="AK16" s="46"/>
    </row>
    <row r="17" spans="1:37" x14ac:dyDescent="0.2">
      <c r="A17" s="46"/>
      <c r="B17" s="212"/>
      <c r="C17" s="212"/>
      <c r="D17" s="212"/>
      <c r="E17" s="212"/>
      <c r="F17" s="212"/>
      <c r="G17" s="212"/>
      <c r="H17" s="182"/>
      <c r="I17" s="182"/>
      <c r="J17" s="212"/>
      <c r="K17" s="212"/>
      <c r="L17" s="212"/>
      <c r="M17" s="213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</row>
    <row r="18" spans="1:37" ht="17" x14ac:dyDescent="0.2">
      <c r="A18" s="214" t="s">
        <v>543</v>
      </c>
      <c r="B18" s="215">
        <v>2</v>
      </c>
      <c r="C18" s="216">
        <v>192.26</v>
      </c>
      <c r="D18" s="217">
        <v>11.03</v>
      </c>
      <c r="E18" s="218" t="s">
        <v>86</v>
      </c>
      <c r="F18" s="219">
        <v>154.37</v>
      </c>
      <c r="G18" s="220">
        <v>9.06</v>
      </c>
      <c r="H18" s="182">
        <v>252.47</v>
      </c>
      <c r="I18" s="182">
        <v>14.49</v>
      </c>
      <c r="J18" s="221" t="s">
        <v>86</v>
      </c>
      <c r="K18" s="219">
        <v>193.23</v>
      </c>
      <c r="L18" s="220">
        <v>11.34</v>
      </c>
      <c r="M18" s="222">
        <v>1</v>
      </c>
      <c r="N18" s="187"/>
      <c r="O18" s="46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6"/>
      <c r="AD18" s="46"/>
      <c r="AE18" s="46"/>
      <c r="AF18" s="46"/>
      <c r="AG18" s="46"/>
      <c r="AH18" s="46"/>
      <c r="AI18" s="46"/>
      <c r="AJ18" s="46"/>
      <c r="AK18" s="46"/>
    </row>
    <row r="19" spans="1:37" ht="17" x14ac:dyDescent="0.2">
      <c r="A19" s="48" t="s">
        <v>544</v>
      </c>
      <c r="B19" s="223">
        <v>3</v>
      </c>
      <c r="C19" s="49">
        <v>128.56</v>
      </c>
      <c r="D19" s="224">
        <v>7.56</v>
      </c>
      <c r="E19" s="49" t="s">
        <v>534</v>
      </c>
      <c r="F19" s="49">
        <v>33.520000000000003</v>
      </c>
      <c r="G19" s="224">
        <v>1.78</v>
      </c>
      <c r="H19" s="182">
        <v>155.31</v>
      </c>
      <c r="I19" s="182">
        <v>9.14</v>
      </c>
      <c r="J19" s="225" t="s">
        <v>534</v>
      </c>
      <c r="K19" s="49">
        <v>51.97</v>
      </c>
      <c r="L19" s="224">
        <v>2.8</v>
      </c>
      <c r="M19" s="206">
        <v>2</v>
      </c>
      <c r="N19" s="187"/>
      <c r="O19" s="46"/>
      <c r="P19" s="187"/>
      <c r="Q19" s="187"/>
      <c r="R19" s="187"/>
      <c r="S19" s="187"/>
      <c r="T19" s="187"/>
      <c r="U19" s="187"/>
      <c r="V19" s="187"/>
      <c r="W19" s="187"/>
      <c r="X19" s="187"/>
      <c r="Y19" s="187"/>
      <c r="Z19" s="187"/>
      <c r="AA19" s="187"/>
      <c r="AB19" s="187"/>
      <c r="AC19" s="46"/>
      <c r="AD19" s="46"/>
      <c r="AE19" s="46"/>
      <c r="AF19" s="46"/>
      <c r="AG19" s="46"/>
      <c r="AH19" s="46"/>
      <c r="AI19" s="46"/>
      <c r="AJ19" s="46"/>
      <c r="AK19" s="46"/>
    </row>
    <row r="20" spans="1:37" ht="17" x14ac:dyDescent="0.2">
      <c r="A20" s="233"/>
      <c r="B20" s="227">
        <v>4</v>
      </c>
      <c r="C20" s="202">
        <v>142.30000000000001</v>
      </c>
      <c r="D20" s="228">
        <v>8.59</v>
      </c>
      <c r="E20" s="202" t="s">
        <v>537</v>
      </c>
      <c r="F20" s="203">
        <v>0.22</v>
      </c>
      <c r="G20" s="203">
        <v>0.2</v>
      </c>
      <c r="H20" s="182">
        <v>171.91</v>
      </c>
      <c r="I20" s="182">
        <v>10.38</v>
      </c>
      <c r="J20" s="204" t="s">
        <v>537</v>
      </c>
      <c r="K20" s="232">
        <v>0.26900000000000002</v>
      </c>
      <c r="L20" s="232">
        <v>0.247</v>
      </c>
      <c r="M20" s="206">
        <v>2</v>
      </c>
      <c r="N20" s="187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46"/>
      <c r="AH20" s="46"/>
      <c r="AI20" s="46"/>
      <c r="AJ20" s="46"/>
      <c r="AK20" s="46"/>
    </row>
    <row r="21" spans="1:37" x14ac:dyDescent="0.2">
      <c r="A21" s="46"/>
      <c r="B21" s="212"/>
      <c r="C21" s="212"/>
      <c r="D21" s="212"/>
      <c r="E21" s="212"/>
      <c r="F21" s="212"/>
      <c r="G21" s="212"/>
      <c r="H21" s="182"/>
      <c r="I21" s="182"/>
      <c r="J21" s="212"/>
      <c r="K21" s="212"/>
      <c r="L21" s="212"/>
      <c r="M21" s="213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</row>
    <row r="22" spans="1:37" ht="17" x14ac:dyDescent="0.2">
      <c r="A22" s="175" t="s">
        <v>545</v>
      </c>
      <c r="B22" s="176">
        <v>2</v>
      </c>
      <c r="C22" s="177">
        <v>162.16</v>
      </c>
      <c r="D22" s="178">
        <v>15.16</v>
      </c>
      <c r="E22" s="229" t="s">
        <v>86</v>
      </c>
      <c r="F22" s="180">
        <v>160.25</v>
      </c>
      <c r="G22" s="181">
        <v>16.059999999999999</v>
      </c>
      <c r="H22" s="182">
        <v>212.95</v>
      </c>
      <c r="I22" s="182">
        <v>19.899999999999999</v>
      </c>
      <c r="J22" s="230" t="s">
        <v>86</v>
      </c>
      <c r="K22" s="180">
        <v>199.28</v>
      </c>
      <c r="L22" s="181">
        <v>19.940000000000001</v>
      </c>
      <c r="M22" s="185">
        <v>1</v>
      </c>
      <c r="N22" s="43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6"/>
      <c r="AH22" s="46"/>
      <c r="AI22" s="46"/>
      <c r="AJ22" s="46"/>
      <c r="AK22" s="46"/>
    </row>
    <row r="23" spans="1:37" ht="17" x14ac:dyDescent="0.2">
      <c r="A23" s="192" t="s">
        <v>546</v>
      </c>
      <c r="B23" s="193">
        <v>3</v>
      </c>
      <c r="C23" s="194">
        <v>156.38999999999999</v>
      </c>
      <c r="D23" s="195">
        <v>16.95</v>
      </c>
      <c r="E23" s="194" t="s">
        <v>534</v>
      </c>
      <c r="F23" s="194">
        <v>3.35</v>
      </c>
      <c r="G23" s="195">
        <v>0.9</v>
      </c>
      <c r="H23" s="182">
        <v>188.93</v>
      </c>
      <c r="I23" s="182">
        <v>20.47</v>
      </c>
      <c r="J23" s="231" t="s">
        <v>534</v>
      </c>
      <c r="K23" s="194">
        <v>12.35</v>
      </c>
      <c r="L23" s="195">
        <v>0.52</v>
      </c>
      <c r="M23" s="196">
        <v>2</v>
      </c>
      <c r="N23" s="43"/>
      <c r="O23" s="187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</row>
    <row r="24" spans="1:37" ht="17" x14ac:dyDescent="0.2">
      <c r="A24" s="198"/>
      <c r="B24" s="199">
        <v>4</v>
      </c>
      <c r="C24" s="200">
        <v>162.22</v>
      </c>
      <c r="D24" s="201">
        <v>16.09</v>
      </c>
      <c r="E24" s="202" t="s">
        <v>537</v>
      </c>
      <c r="F24" s="203">
        <v>0.02</v>
      </c>
      <c r="G24" s="203">
        <v>0.06</v>
      </c>
      <c r="H24" s="182">
        <v>195.98</v>
      </c>
      <c r="I24" s="182">
        <v>19.440000000000001</v>
      </c>
      <c r="J24" s="204" t="s">
        <v>537</v>
      </c>
      <c r="K24" s="203">
        <v>0.06</v>
      </c>
      <c r="L24" s="203">
        <v>0.03</v>
      </c>
      <c r="M24" s="206">
        <v>2</v>
      </c>
      <c r="N24" s="43"/>
      <c r="O24" s="187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</row>
    <row r="25" spans="1:37" x14ac:dyDescent="0.2">
      <c r="A25" s="46"/>
      <c r="B25" s="212"/>
      <c r="C25" s="212"/>
      <c r="D25" s="212"/>
      <c r="E25" s="212"/>
      <c r="F25" s="212"/>
      <c r="G25" s="212"/>
      <c r="H25" s="182"/>
      <c r="I25" s="182"/>
      <c r="J25" s="212"/>
      <c r="K25" s="212"/>
      <c r="L25" s="212"/>
      <c r="M25" s="213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</row>
    <row r="26" spans="1:37" ht="17" x14ac:dyDescent="0.2">
      <c r="A26" s="214" t="s">
        <v>547</v>
      </c>
      <c r="B26" s="215">
        <v>2</v>
      </c>
      <c r="C26" s="216">
        <v>113.07</v>
      </c>
      <c r="D26" s="217">
        <v>7.62</v>
      </c>
      <c r="E26" s="218" t="s">
        <v>86</v>
      </c>
      <c r="F26" s="219">
        <v>111.6</v>
      </c>
      <c r="G26" s="220">
        <v>7.1</v>
      </c>
      <c r="H26" s="182">
        <v>148.47999999999999</v>
      </c>
      <c r="I26" s="182">
        <v>10.01</v>
      </c>
      <c r="J26" s="221" t="s">
        <v>86</v>
      </c>
      <c r="K26" s="219">
        <v>138.78</v>
      </c>
      <c r="L26" s="220">
        <v>8.84</v>
      </c>
      <c r="M26" s="222">
        <v>1</v>
      </c>
      <c r="N26" s="43"/>
      <c r="O26" s="43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</row>
    <row r="27" spans="1:37" ht="17" x14ac:dyDescent="0.2">
      <c r="A27" s="48" t="s">
        <v>548</v>
      </c>
      <c r="B27" s="223">
        <v>3</v>
      </c>
      <c r="C27" s="49">
        <v>108.15</v>
      </c>
      <c r="D27" s="224">
        <v>7.03</v>
      </c>
      <c r="E27" s="49" t="s">
        <v>534</v>
      </c>
      <c r="F27" s="49">
        <v>3</v>
      </c>
      <c r="G27" s="224">
        <v>0.49</v>
      </c>
      <c r="H27" s="182">
        <v>130.65</v>
      </c>
      <c r="I27" s="182">
        <v>8.49</v>
      </c>
      <c r="J27" s="225" t="s">
        <v>534</v>
      </c>
      <c r="K27" s="49">
        <v>9.02</v>
      </c>
      <c r="L27" s="224">
        <v>1.04</v>
      </c>
      <c r="M27" s="206">
        <v>2</v>
      </c>
      <c r="N27" s="43"/>
      <c r="O27" s="43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</row>
    <row r="28" spans="1:37" ht="17" x14ac:dyDescent="0.2">
      <c r="A28" s="233"/>
      <c r="B28" s="227">
        <v>4</v>
      </c>
      <c r="C28" s="202">
        <v>113.58</v>
      </c>
      <c r="D28" s="228">
        <v>6.65</v>
      </c>
      <c r="E28" s="202" t="s">
        <v>537</v>
      </c>
      <c r="F28" s="203">
        <v>0.03</v>
      </c>
      <c r="G28" s="203">
        <v>7.0000000000000007E-2</v>
      </c>
      <c r="H28" s="182">
        <v>137.22</v>
      </c>
      <c r="I28" s="182">
        <v>8.0299999999999994</v>
      </c>
      <c r="J28" s="204" t="s">
        <v>537</v>
      </c>
      <c r="K28" s="203">
        <v>0.06</v>
      </c>
      <c r="L28" s="203">
        <v>0.12</v>
      </c>
      <c r="M28" s="206">
        <v>2</v>
      </c>
      <c r="N28" s="43"/>
      <c r="O28" s="43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</row>
    <row r="29" spans="1:37" x14ac:dyDescent="0.2">
      <c r="A29" s="234" t="s">
        <v>549</v>
      </c>
      <c r="B29" s="234"/>
      <c r="C29" s="234"/>
      <c r="D29" s="234"/>
      <c r="E29" s="187"/>
      <c r="F29" s="187"/>
      <c r="G29" s="187"/>
      <c r="H29" s="187"/>
      <c r="I29" s="187"/>
      <c r="J29" s="187"/>
      <c r="K29" s="187"/>
      <c r="L29" s="187"/>
      <c r="M29" s="187"/>
      <c r="N29" s="46"/>
      <c r="O29" s="43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</row>
    <row r="30" spans="1:37" x14ac:dyDescent="0.2">
      <c r="A30" s="46"/>
      <c r="B30" s="46"/>
      <c r="C30" s="46"/>
      <c r="D30" s="42"/>
      <c r="E30" s="42"/>
      <c r="F30" s="235"/>
      <c r="G30" s="235"/>
      <c r="H30" s="235"/>
      <c r="I30" s="235"/>
      <c r="J30" s="42"/>
      <c r="K30" s="235"/>
      <c r="L30" s="235"/>
      <c r="M30" s="235"/>
      <c r="N30" s="187"/>
      <c r="O30" s="187"/>
      <c r="P30" s="43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</row>
    <row r="31" spans="1:37" x14ac:dyDescent="0.2">
      <c r="A31" s="46"/>
      <c r="B31" s="46"/>
      <c r="C31" s="46"/>
      <c r="D31" s="43"/>
      <c r="E31" s="43"/>
      <c r="F31" s="187"/>
      <c r="G31" s="187"/>
      <c r="H31" s="187"/>
      <c r="I31" s="187"/>
      <c r="J31" s="43"/>
      <c r="K31" s="187"/>
      <c r="L31" s="187"/>
      <c r="M31" s="187"/>
      <c r="N31" s="236"/>
      <c r="O31" s="236"/>
      <c r="P31" s="43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</row>
    <row r="32" spans="1:37" x14ac:dyDescent="0.2">
      <c r="A32" s="46"/>
      <c r="B32" s="46"/>
      <c r="C32" s="46"/>
      <c r="D32" s="46"/>
      <c r="E32" s="236"/>
      <c r="F32" s="236"/>
      <c r="G32" s="43"/>
      <c r="H32" s="43"/>
      <c r="I32" s="43"/>
      <c r="J32" s="43"/>
      <c r="K32" s="43"/>
      <c r="L32" s="43"/>
      <c r="M32" s="43"/>
      <c r="N32" s="187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</row>
    <row r="33" spans="1:37" x14ac:dyDescent="0.2">
      <c r="A33" s="237" t="s">
        <v>550</v>
      </c>
      <c r="B33" s="238"/>
      <c r="C33" s="239"/>
      <c r="D33" s="43"/>
      <c r="E33" s="46"/>
      <c r="F33" s="46"/>
      <c r="G33" s="46"/>
      <c r="H33" s="46"/>
      <c r="I33" s="46"/>
      <c r="J33" s="4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</row>
    <row r="34" spans="1:37" ht="17" x14ac:dyDescent="0.2">
      <c r="A34" s="240"/>
      <c r="B34" s="42" t="s">
        <v>551</v>
      </c>
      <c r="C34" s="47" t="s">
        <v>552</v>
      </c>
      <c r="D34" s="46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3"/>
      <c r="AC34" s="46"/>
      <c r="AD34" s="46"/>
      <c r="AE34" s="46"/>
      <c r="AF34" s="46"/>
      <c r="AG34" s="46"/>
      <c r="AH34" s="46"/>
      <c r="AI34" s="46"/>
      <c r="AJ34" s="46"/>
      <c r="AK34" s="46"/>
    </row>
    <row r="35" spans="1:37" ht="176" x14ac:dyDescent="0.2">
      <c r="A35" s="48" t="s">
        <v>553</v>
      </c>
      <c r="B35" s="187">
        <v>76.650000000000006</v>
      </c>
      <c r="C35" s="50">
        <v>268.22000000000003</v>
      </c>
      <c r="D35" s="46" t="s">
        <v>554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3"/>
      <c r="AC35" s="46"/>
      <c r="AD35" s="46"/>
      <c r="AE35" s="46"/>
      <c r="AF35" s="46"/>
      <c r="AG35" s="46"/>
      <c r="AH35" s="46"/>
      <c r="AI35" s="46"/>
      <c r="AJ35" s="46"/>
      <c r="AK35" s="46"/>
    </row>
    <row r="36" spans="1:37" ht="17" x14ac:dyDescent="0.2">
      <c r="A36" s="48" t="s">
        <v>555</v>
      </c>
      <c r="B36" s="187">
        <v>73.7</v>
      </c>
      <c r="C36" s="50">
        <v>215.25</v>
      </c>
      <c r="D36" s="46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3"/>
      <c r="AC36" s="46"/>
      <c r="AD36" s="46"/>
      <c r="AE36" s="46"/>
      <c r="AF36" s="46"/>
      <c r="AG36" s="46"/>
      <c r="AH36" s="46"/>
      <c r="AI36" s="46"/>
      <c r="AJ36" s="46"/>
      <c r="AK36" s="46"/>
    </row>
    <row r="37" spans="1:37" ht="17" x14ac:dyDescent="0.2">
      <c r="A37" s="48" t="s">
        <v>556</v>
      </c>
      <c r="B37" s="187">
        <v>74.67</v>
      </c>
      <c r="C37" s="50">
        <v>233.68</v>
      </c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3"/>
      <c r="AC37" s="46"/>
      <c r="AD37" s="46"/>
      <c r="AE37" s="46"/>
      <c r="AF37" s="46"/>
      <c r="AG37" s="46"/>
      <c r="AH37" s="46"/>
      <c r="AI37" s="46"/>
      <c r="AJ37" s="46"/>
      <c r="AK37" s="46"/>
    </row>
    <row r="38" spans="1:37" ht="17" x14ac:dyDescent="0.2">
      <c r="A38" s="48" t="s">
        <v>557</v>
      </c>
      <c r="B38" s="235">
        <v>75.010000000000005</v>
      </c>
      <c r="C38" s="235">
        <v>239.05</v>
      </c>
      <c r="D38" s="46"/>
      <c r="E38" s="46"/>
      <c r="F38" s="46"/>
      <c r="G38" s="46"/>
      <c r="H38" s="46"/>
      <c r="I38" s="46"/>
      <c r="J38" s="4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3"/>
      <c r="AC38" s="46"/>
      <c r="AD38" s="46"/>
      <c r="AE38" s="46"/>
      <c r="AF38" s="46"/>
      <c r="AG38" s="46"/>
      <c r="AH38" s="46"/>
      <c r="AI38" s="46"/>
      <c r="AJ38" s="46"/>
      <c r="AK38" s="46"/>
    </row>
    <row r="39" spans="1:37" ht="17" x14ac:dyDescent="0.2">
      <c r="A39" s="48" t="s">
        <v>558</v>
      </c>
      <c r="B39" s="235">
        <v>1.5</v>
      </c>
      <c r="C39" s="235">
        <v>26.89</v>
      </c>
      <c r="D39" s="46"/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3"/>
      <c r="AC39" s="46"/>
      <c r="AD39" s="46"/>
      <c r="AE39" s="46"/>
      <c r="AF39" s="46"/>
      <c r="AG39" s="46"/>
      <c r="AH39" s="46"/>
      <c r="AI39" s="46"/>
      <c r="AJ39" s="46"/>
      <c r="AK39" s="46"/>
    </row>
    <row r="40" spans="1:37" ht="17" x14ac:dyDescent="0.2">
      <c r="A40" s="48" t="s">
        <v>559</v>
      </c>
      <c r="B40" s="241">
        <v>0.76100000000000001</v>
      </c>
      <c r="C40" s="241">
        <v>0.85099999999999998</v>
      </c>
      <c r="D40" s="46"/>
      <c r="E40" s="46"/>
      <c r="F40" s="46"/>
      <c r="G40" s="46"/>
      <c r="H40" s="46"/>
      <c r="I40" s="46"/>
      <c r="J40" s="4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3"/>
      <c r="AC40" s="46"/>
      <c r="AD40" s="46"/>
      <c r="AE40" s="46"/>
      <c r="AF40" s="46"/>
      <c r="AG40" s="46"/>
      <c r="AH40" s="46"/>
      <c r="AI40" s="46"/>
      <c r="AJ40" s="46"/>
      <c r="AK40" s="46"/>
    </row>
    <row r="41" spans="1:37" ht="17" x14ac:dyDescent="0.2">
      <c r="A41" s="48" t="s">
        <v>560</v>
      </c>
      <c r="B41" s="242">
        <v>0.02</v>
      </c>
      <c r="C41" s="242">
        <v>0.113</v>
      </c>
      <c r="D41" s="46"/>
      <c r="E41" s="46"/>
      <c r="F41" s="46"/>
      <c r="G41" s="46"/>
      <c r="H41" s="46"/>
      <c r="I41" s="46"/>
      <c r="J41" s="4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3"/>
      <c r="AC41" s="46"/>
      <c r="AD41" s="46"/>
      <c r="AE41" s="46"/>
      <c r="AF41" s="46"/>
      <c r="AG41" s="46"/>
      <c r="AH41" s="46"/>
      <c r="AI41" s="46"/>
      <c r="AJ41" s="46"/>
      <c r="AK41" s="46"/>
    </row>
    <row r="42" spans="1:37" x14ac:dyDescent="0.2">
      <c r="A42" s="48"/>
      <c r="B42" s="242"/>
      <c r="C42" s="242"/>
      <c r="D42" s="46"/>
      <c r="E42" s="46"/>
      <c r="F42" s="46"/>
      <c r="G42" s="46"/>
      <c r="H42" s="46"/>
      <c r="I42" s="46"/>
      <c r="J42" s="4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3"/>
      <c r="AC42" s="46"/>
      <c r="AD42" s="46"/>
      <c r="AE42" s="46"/>
      <c r="AF42" s="46"/>
      <c r="AG42" s="46"/>
      <c r="AH42" s="46"/>
      <c r="AI42" s="46"/>
      <c r="AJ42" s="46"/>
      <c r="AK42" s="46"/>
    </row>
    <row r="43" spans="1:37" ht="208" x14ac:dyDescent="0.2">
      <c r="A43" s="48" t="s">
        <v>561</v>
      </c>
      <c r="B43" s="49">
        <v>80.64</v>
      </c>
      <c r="C43" s="50">
        <v>191.8</v>
      </c>
      <c r="D43" s="46" t="s">
        <v>562</v>
      </c>
      <c r="E43" s="46"/>
      <c r="F43" s="46"/>
      <c r="G43" s="46"/>
      <c r="H43" s="46"/>
      <c r="I43" s="46"/>
      <c r="J43" s="4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3"/>
      <c r="AC43" s="46"/>
      <c r="AD43" s="46"/>
      <c r="AE43" s="46"/>
      <c r="AF43" s="46"/>
      <c r="AG43" s="46"/>
      <c r="AH43" s="46"/>
      <c r="AI43" s="46"/>
      <c r="AJ43" s="46"/>
      <c r="AK43" s="46"/>
    </row>
    <row r="44" spans="1:37" ht="17" x14ac:dyDescent="0.2">
      <c r="A44" s="48" t="s">
        <v>563</v>
      </c>
      <c r="B44" s="187">
        <v>82.04</v>
      </c>
      <c r="C44" s="50">
        <v>208.73</v>
      </c>
      <c r="D44" s="46"/>
      <c r="E44" s="46"/>
      <c r="F44" s="46"/>
      <c r="G44" s="46"/>
      <c r="H44" s="46"/>
      <c r="I44" s="46"/>
      <c r="J44" s="4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</row>
    <row r="45" spans="1:37" ht="17" x14ac:dyDescent="0.2">
      <c r="A45" s="48" t="s">
        <v>564</v>
      </c>
      <c r="B45" s="187">
        <v>81.93</v>
      </c>
      <c r="C45" s="50">
        <v>241.47</v>
      </c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</row>
    <row r="46" spans="1:37" ht="17" x14ac:dyDescent="0.2">
      <c r="A46" s="48" t="s">
        <v>565</v>
      </c>
      <c r="B46" s="235">
        <v>81.53</v>
      </c>
      <c r="C46" s="235">
        <v>214</v>
      </c>
      <c r="D46" s="46"/>
      <c r="E46" s="46"/>
      <c r="F46" s="46"/>
      <c r="G46" s="46"/>
      <c r="H46" s="46"/>
      <c r="I46" s="46"/>
      <c r="J46" s="4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</row>
    <row r="47" spans="1:37" ht="17" x14ac:dyDescent="0.2">
      <c r="A47" s="48" t="s">
        <v>566</v>
      </c>
      <c r="B47" s="235">
        <v>0.78</v>
      </c>
      <c r="C47" s="235">
        <v>25.25</v>
      </c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</row>
    <row r="48" spans="1:37" ht="17" x14ac:dyDescent="0.2">
      <c r="A48" s="48" t="s">
        <v>567</v>
      </c>
      <c r="B48" s="241">
        <v>0.82799999999999996</v>
      </c>
      <c r="C48" s="241">
        <v>0.76200000000000001</v>
      </c>
      <c r="D48" s="187"/>
      <c r="E48" s="187"/>
      <c r="F48" s="187"/>
      <c r="G48" s="187"/>
      <c r="H48" s="187"/>
      <c r="I48" s="187"/>
      <c r="J48" s="187"/>
      <c r="K48" s="187"/>
      <c r="L48" s="187"/>
      <c r="M48" s="187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</row>
    <row r="49" spans="1:37" ht="17" x14ac:dyDescent="0.2">
      <c r="A49" s="48" t="s">
        <v>560</v>
      </c>
      <c r="B49" s="242">
        <v>0.01</v>
      </c>
      <c r="C49" s="242">
        <v>0.11799999999999999</v>
      </c>
      <c r="D49" s="187"/>
      <c r="E49" s="187"/>
      <c r="F49" s="187"/>
      <c r="G49" s="187"/>
      <c r="H49" s="187"/>
      <c r="I49" s="187"/>
      <c r="J49" s="187"/>
      <c r="K49" s="187"/>
      <c r="L49" s="187"/>
      <c r="M49" s="187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</row>
    <row r="50" spans="1:37" x14ac:dyDescent="0.2">
      <c r="A50" s="48"/>
      <c r="B50" s="242"/>
      <c r="C50" s="242"/>
      <c r="D50" s="187"/>
      <c r="E50" s="187"/>
      <c r="F50" s="187"/>
      <c r="G50" s="187"/>
      <c r="H50" s="187"/>
      <c r="I50" s="187"/>
      <c r="J50" s="187"/>
      <c r="K50" s="187"/>
      <c r="L50" s="187"/>
      <c r="M50" s="187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</row>
    <row r="51" spans="1:37" ht="17" x14ac:dyDescent="0.2">
      <c r="A51" s="48" t="s">
        <v>568</v>
      </c>
      <c r="B51" s="49">
        <v>78.27</v>
      </c>
      <c r="C51" s="49">
        <v>226.53</v>
      </c>
      <c r="D51" s="187"/>
      <c r="E51" s="187"/>
      <c r="F51" s="187"/>
      <c r="G51" s="187"/>
      <c r="H51" s="187"/>
      <c r="I51" s="187"/>
      <c r="J51" s="187"/>
      <c r="K51" s="187"/>
      <c r="L51" s="187"/>
      <c r="M51" s="187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</row>
    <row r="52" spans="1:37" ht="17" x14ac:dyDescent="0.2">
      <c r="A52" s="48" t="s">
        <v>569</v>
      </c>
      <c r="B52" s="187">
        <v>3.73</v>
      </c>
      <c r="C52" s="187">
        <v>27.07</v>
      </c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</row>
    <row r="53" spans="1:37" x14ac:dyDescent="0.2">
      <c r="A53" s="48"/>
      <c r="B53" s="187"/>
      <c r="C53" s="50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</row>
    <row r="54" spans="1:37" ht="17" x14ac:dyDescent="0.2">
      <c r="A54" s="48" t="s">
        <v>570</v>
      </c>
      <c r="B54" s="187">
        <v>98.5</v>
      </c>
      <c r="C54" s="50">
        <v>281</v>
      </c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</row>
    <row r="55" spans="1:37" x14ac:dyDescent="0.2">
      <c r="A55" s="240"/>
      <c r="B55" s="187"/>
      <c r="C55" s="50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</row>
    <row r="56" spans="1:37" ht="17" x14ac:dyDescent="0.2">
      <c r="A56" s="240" t="s">
        <v>571</v>
      </c>
      <c r="B56" s="236">
        <v>0.75</v>
      </c>
      <c r="C56" s="243">
        <v>0.68</v>
      </c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</row>
    <row r="57" spans="1:37" ht="17" x14ac:dyDescent="0.2">
      <c r="A57" s="240" t="s">
        <v>572</v>
      </c>
      <c r="B57" s="236">
        <v>0.83</v>
      </c>
      <c r="C57" s="243">
        <v>0.95</v>
      </c>
      <c r="D57" s="187"/>
      <c r="E57" s="187"/>
      <c r="F57" s="43"/>
      <c r="G57" s="43"/>
      <c r="H57" s="43"/>
      <c r="I57" s="43"/>
      <c r="J57" s="43"/>
      <c r="K57" s="43"/>
      <c r="L57" s="43"/>
      <c r="M57" s="43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</row>
    <row r="58" spans="1:37" ht="17" x14ac:dyDescent="0.2">
      <c r="A58" s="226" t="s">
        <v>573</v>
      </c>
      <c r="B58" s="244">
        <v>0.79</v>
      </c>
      <c r="C58" s="244">
        <v>0.81</v>
      </c>
      <c r="D58" s="187"/>
      <c r="E58" s="187"/>
      <c r="F58" s="43"/>
      <c r="G58" s="43"/>
      <c r="H58" s="43"/>
      <c r="I58" s="43"/>
      <c r="J58" s="43"/>
      <c r="K58" s="43"/>
      <c r="L58" s="43"/>
      <c r="M58" s="43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</row>
    <row r="59" spans="1:37" ht="17" x14ac:dyDescent="0.2">
      <c r="A59" s="226" t="s">
        <v>574</v>
      </c>
      <c r="B59" s="244">
        <v>0.04</v>
      </c>
      <c r="C59" s="244">
        <v>0.05</v>
      </c>
      <c r="D59" s="187"/>
      <c r="E59" s="187"/>
      <c r="F59" s="187"/>
      <c r="G59" s="43"/>
      <c r="H59" s="43"/>
      <c r="I59" s="43"/>
      <c r="J59" s="43"/>
      <c r="K59" s="43"/>
      <c r="L59" s="43"/>
      <c r="M59" s="43"/>
      <c r="N59" s="43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</row>
    <row r="60" spans="1:37" ht="136" x14ac:dyDescent="0.2">
      <c r="A60" s="43" t="s">
        <v>575</v>
      </c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</row>
    <row r="61" spans="1:37" x14ac:dyDescent="0.2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</row>
    <row r="62" spans="1:37" x14ac:dyDescent="0.2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</row>
    <row r="63" spans="1:37" x14ac:dyDescent="0.2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</row>
    <row r="64" spans="1:37" x14ac:dyDescent="0.2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</row>
    <row r="65" spans="1:37" x14ac:dyDescent="0.2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</row>
    <row r="66" spans="1:37" x14ac:dyDescent="0.2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</row>
    <row r="67" spans="1:37" x14ac:dyDescent="0.2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</row>
    <row r="68" spans="1:37" x14ac:dyDescent="0.2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</row>
    <row r="69" spans="1:37" x14ac:dyDescent="0.2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</row>
    <row r="70" spans="1:37" x14ac:dyDescent="0.2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</row>
    <row r="71" spans="1:37" x14ac:dyDescent="0.2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</row>
    <row r="72" spans="1:37" x14ac:dyDescent="0.2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</row>
    <row r="73" spans="1:37" x14ac:dyDescent="0.2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</row>
    <row r="74" spans="1:37" x14ac:dyDescent="0.2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</row>
    <row r="75" spans="1:37" x14ac:dyDescent="0.2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</row>
    <row r="76" spans="1:37" x14ac:dyDescent="0.2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</row>
    <row r="77" spans="1:37" x14ac:dyDescent="0.2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</row>
    <row r="78" spans="1:37" x14ac:dyDescent="0.2">
      <c r="A78" s="46"/>
      <c r="B78" s="46"/>
      <c r="C78" s="46"/>
      <c r="D78" s="46"/>
      <c r="E78" s="46"/>
      <c r="F78" s="46"/>
      <c r="G78" s="46"/>
      <c r="H78" s="46"/>
      <c r="I78" s="46"/>
      <c r="J78" s="4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</row>
    <row r="79" spans="1:37" x14ac:dyDescent="0.2">
      <c r="A79" s="46"/>
      <c r="B79" s="46"/>
      <c r="C79" s="46"/>
      <c r="D79" s="46"/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</row>
    <row r="80" spans="1:37" x14ac:dyDescent="0.2">
      <c r="A80" s="46"/>
      <c r="B80" s="46"/>
      <c r="C80" s="46"/>
      <c r="D80" s="46"/>
      <c r="E80" s="46"/>
      <c r="F80" s="46"/>
      <c r="G80" s="46"/>
      <c r="H80" s="46"/>
      <c r="I80" s="46"/>
      <c r="J80" s="4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</row>
    <row r="81" spans="1:37" x14ac:dyDescent="0.2">
      <c r="A81" s="46"/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</row>
    <row r="82" spans="1:37" x14ac:dyDescent="0.2">
      <c r="A82" s="46"/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</row>
    <row r="83" spans="1:37" x14ac:dyDescent="0.2">
      <c r="A83" s="46"/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</row>
    <row r="84" spans="1:37" x14ac:dyDescent="0.2">
      <c r="A84" s="46"/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</row>
    <row r="85" spans="1:37" x14ac:dyDescent="0.2">
      <c r="A85" s="46"/>
      <c r="B85" s="46"/>
      <c r="C85" s="46"/>
      <c r="D85" s="46"/>
      <c r="E85" s="46"/>
      <c r="F85" s="46"/>
      <c r="G85" s="46"/>
      <c r="H85" s="46"/>
      <c r="I85" s="46"/>
      <c r="J85" s="4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</row>
    <row r="86" spans="1:37" x14ac:dyDescent="0.2">
      <c r="A86" s="46"/>
      <c r="B86" s="46"/>
      <c r="C86" s="46"/>
      <c r="D86" s="46"/>
      <c r="E86" s="46"/>
      <c r="F86" s="46"/>
      <c r="G86" s="46"/>
      <c r="H86" s="46"/>
      <c r="I86" s="46"/>
      <c r="J86" s="4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</row>
    <row r="87" spans="1:37" x14ac:dyDescent="0.2">
      <c r="A87" s="46"/>
      <c r="B87" s="46"/>
      <c r="C87" s="46"/>
      <c r="D87" s="46"/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</row>
    <row r="88" spans="1:37" x14ac:dyDescent="0.2">
      <c r="A88" s="46"/>
      <c r="B88" s="46"/>
      <c r="C88" s="46"/>
      <c r="D88" s="46"/>
      <c r="E88" s="46"/>
      <c r="F88" s="46"/>
      <c r="G88" s="46"/>
      <c r="H88" s="46"/>
      <c r="I88" s="46"/>
      <c r="J88" s="46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</row>
    <row r="89" spans="1:37" x14ac:dyDescent="0.2">
      <c r="A89" s="46"/>
      <c r="B89" s="46"/>
      <c r="C89" s="46"/>
      <c r="D89" s="46"/>
      <c r="E89" s="46"/>
      <c r="F89" s="46"/>
      <c r="G89" s="46"/>
      <c r="H89" s="46"/>
      <c r="I89" s="46"/>
      <c r="J89" s="46"/>
      <c r="K89" s="46"/>
      <c r="L89" s="46"/>
      <c r="M89" s="46"/>
      <c r="N89" s="46"/>
      <c r="O89" s="46"/>
      <c r="P89" s="46"/>
      <c r="Q89" s="46"/>
      <c r="R89" s="46"/>
      <c r="S89" s="46"/>
      <c r="T89" s="46"/>
      <c r="U89" s="46"/>
      <c r="V89" s="46"/>
      <c r="W89" s="46"/>
      <c r="X89" s="46"/>
      <c r="Y89" s="46"/>
      <c r="Z89" s="46"/>
      <c r="AA89" s="46"/>
      <c r="AB89" s="46"/>
      <c r="AC89" s="46"/>
      <c r="AD89" s="46"/>
      <c r="AE89" s="46"/>
      <c r="AF89" s="46"/>
      <c r="AG89" s="46"/>
      <c r="AH89" s="46"/>
      <c r="AI89" s="46"/>
      <c r="AJ89" s="46"/>
      <c r="AK89" s="46"/>
    </row>
  </sheetData>
  <mergeCells count="11">
    <mergeCell ref="A29:D29"/>
    <mergeCell ref="A33:C33"/>
    <mergeCell ref="A3:F3"/>
    <mergeCell ref="C4:G4"/>
    <mergeCell ref="H4:L4"/>
    <mergeCell ref="P5:S5"/>
    <mergeCell ref="T5:AA5"/>
    <mergeCell ref="R6:S6"/>
    <mergeCell ref="V6:W6"/>
    <mergeCell ref="X6:Y6"/>
    <mergeCell ref="Z6:AA6"/>
  </mergeCells>
  <phoneticPr fontId="16" type="noConversion"/>
  <pageMargins left="0.75" right="0.75" top="1" bottom="1" header="0.5" footer="0.5"/>
  <pageSetup scale="27" orientation="portrait" horizontalDpi="4294967292" verticalDpi="4294967292"/>
  <rowBreaks count="1" manualBreakCount="1">
    <brk id="63" max="16383" man="1"/>
  </rowBreaks>
  <colBreaks count="1" manualBreakCount="1">
    <brk id="27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D40"/>
  <sheetViews>
    <sheetView topLeftCell="B1" zoomScaleNormal="100" zoomScalePageLayoutView="70" workbookViewId="0">
      <selection activeCell="B1" sqref="B1:B2"/>
    </sheetView>
  </sheetViews>
  <sheetFormatPr baseColWidth="10" defaultRowHeight="16" x14ac:dyDescent="0.2"/>
  <sheetData>
    <row r="1" spans="1:30" x14ac:dyDescent="0.2">
      <c r="B1" s="116" t="s">
        <v>697</v>
      </c>
    </row>
    <row r="2" spans="1:30" x14ac:dyDescent="0.2">
      <c r="B2" s="117" t="s">
        <v>698</v>
      </c>
    </row>
    <row r="3" spans="1:30" x14ac:dyDescent="0.2">
      <c r="A3" s="100" t="s">
        <v>696</v>
      </c>
      <c r="B3" s="100"/>
      <c r="C3" s="100"/>
      <c r="D3" s="100"/>
      <c r="E3" s="100"/>
      <c r="F3" s="100"/>
    </row>
    <row r="5" spans="1:30" x14ac:dyDescent="0.2">
      <c r="E5" t="s">
        <v>659</v>
      </c>
    </row>
    <row r="7" spans="1:30" x14ac:dyDescent="0.2">
      <c r="D7" s="101" t="s">
        <v>660</v>
      </c>
      <c r="E7" s="80"/>
      <c r="F7" s="80"/>
      <c r="G7" s="80"/>
      <c r="O7" s="102" t="s">
        <v>661</v>
      </c>
      <c r="Q7" t="s">
        <v>662</v>
      </c>
      <c r="U7" t="s">
        <v>663</v>
      </c>
    </row>
    <row r="8" spans="1:30" x14ac:dyDescent="0.2">
      <c r="D8" s="101"/>
      <c r="E8" s="80"/>
      <c r="F8" s="80"/>
      <c r="G8" s="80"/>
      <c r="O8" s="102"/>
      <c r="Q8">
        <f>3.8^2</f>
        <v>14.44</v>
      </c>
      <c r="T8" t="s">
        <v>664</v>
      </c>
      <c r="U8" s="61">
        <v>5.0000000000000001E-4</v>
      </c>
      <c r="V8" s="61">
        <f>U8/10</f>
        <v>5.0000000000000002E-5</v>
      </c>
      <c r="W8" s="61">
        <f t="shared" ref="W8:AD8" si="0">V8/10</f>
        <v>5.0000000000000004E-6</v>
      </c>
      <c r="X8" s="61">
        <f t="shared" si="0"/>
        <v>5.0000000000000008E-7</v>
      </c>
      <c r="Y8" s="61">
        <f t="shared" si="0"/>
        <v>5.0000000000000011E-8</v>
      </c>
      <c r="Z8" s="61">
        <f t="shared" si="0"/>
        <v>5.0000000000000009E-9</v>
      </c>
      <c r="AA8" s="61">
        <f t="shared" si="0"/>
        <v>5.0000000000000013E-10</v>
      </c>
      <c r="AB8" s="61">
        <f t="shared" si="0"/>
        <v>5.0000000000000015E-11</v>
      </c>
      <c r="AC8" s="61">
        <f t="shared" si="0"/>
        <v>5.0000000000000013E-12</v>
      </c>
      <c r="AD8" s="61">
        <f t="shared" si="0"/>
        <v>5.0000000000000009E-13</v>
      </c>
    </row>
    <row r="9" spans="1:30" x14ac:dyDescent="0.2">
      <c r="D9" s="101"/>
      <c r="E9" s="80"/>
      <c r="F9" s="80"/>
      <c r="G9" s="80"/>
      <c r="O9" s="102"/>
      <c r="U9" s="94" t="s">
        <v>665</v>
      </c>
      <c r="V9" s="94"/>
      <c r="W9" s="94"/>
      <c r="X9" s="94"/>
      <c r="Y9" s="94"/>
      <c r="Z9" s="94"/>
    </row>
    <row r="10" spans="1:30" x14ac:dyDescent="0.2">
      <c r="D10" s="101"/>
      <c r="E10" s="80"/>
      <c r="F10" s="80"/>
      <c r="G10" s="80"/>
      <c r="J10" t="s">
        <v>666</v>
      </c>
      <c r="K10" t="s">
        <v>667</v>
      </c>
      <c r="L10" t="s">
        <v>668</v>
      </c>
      <c r="M10" t="s">
        <v>669</v>
      </c>
      <c r="P10" t="s">
        <v>670</v>
      </c>
      <c r="Q10" t="s">
        <v>666</v>
      </c>
      <c r="R10" t="s">
        <v>667</v>
      </c>
      <c r="S10" t="s">
        <v>668</v>
      </c>
      <c r="T10" t="s">
        <v>669</v>
      </c>
      <c r="U10" t="s">
        <v>671</v>
      </c>
      <c r="V10" t="s">
        <v>671</v>
      </c>
      <c r="W10" t="s">
        <v>671</v>
      </c>
      <c r="X10" t="s">
        <v>671</v>
      </c>
      <c r="Y10" t="s">
        <v>671</v>
      </c>
      <c r="Z10" t="s">
        <v>671</v>
      </c>
      <c r="AA10" t="s">
        <v>671</v>
      </c>
      <c r="AB10" t="s">
        <v>671</v>
      </c>
      <c r="AC10" t="s">
        <v>671</v>
      </c>
    </row>
    <row r="11" spans="1:30" x14ac:dyDescent="0.2">
      <c r="D11" s="101"/>
      <c r="E11" s="80"/>
      <c r="F11" s="81"/>
      <c r="G11" s="80"/>
      <c r="I11" s="81" t="s">
        <v>672</v>
      </c>
      <c r="J11">
        <f>(0.005*3.8)</f>
        <v>1.9E-2</v>
      </c>
      <c r="K11">
        <f>J11/J12</f>
        <v>1.3157894736842105E-3</v>
      </c>
      <c r="L11">
        <v>17.649999999999999</v>
      </c>
      <c r="M11">
        <f>L11/K11</f>
        <v>13414</v>
      </c>
      <c r="O11" s="91" t="s">
        <v>673</v>
      </c>
      <c r="P11" s="61">
        <v>1E-3</v>
      </c>
      <c r="Q11">
        <f>(P11*3.8)</f>
        <v>3.8E-3</v>
      </c>
      <c r="R11">
        <f t="shared" ref="R11:R19" si="1">Q11/Q$8</f>
        <v>2.631578947368421E-4</v>
      </c>
      <c r="S11" s="79">
        <v>17.649999999999999</v>
      </c>
      <c r="T11" s="79">
        <f t="shared" ref="T11:T19" si="2">S11/R11</f>
        <v>67070</v>
      </c>
      <c r="U11" s="87">
        <f t="shared" ref="U11:U19" si="3">T11*U$8</f>
        <v>33.535000000000004</v>
      </c>
      <c r="V11" s="87">
        <f t="shared" ref="V11:AC19" si="4">$T11*V$8</f>
        <v>3.3535000000000004</v>
      </c>
      <c r="W11" s="87">
        <f t="shared" si="4"/>
        <v>0.33535000000000004</v>
      </c>
      <c r="X11" s="87">
        <f t="shared" si="4"/>
        <v>3.3535000000000002E-2</v>
      </c>
      <c r="Y11" s="87">
        <f t="shared" si="4"/>
        <v>3.3535000000000006E-3</v>
      </c>
      <c r="Z11" s="87">
        <f t="shared" si="4"/>
        <v>3.3535000000000005E-4</v>
      </c>
      <c r="AA11" s="87">
        <f t="shared" si="4"/>
        <v>3.353500000000001E-5</v>
      </c>
      <c r="AB11" s="87">
        <f t="shared" si="4"/>
        <v>3.353500000000001E-6</v>
      </c>
      <c r="AC11" s="87">
        <f t="shared" si="4"/>
        <v>3.353500000000001E-7</v>
      </c>
    </row>
    <row r="12" spans="1:30" x14ac:dyDescent="0.2">
      <c r="D12" s="101"/>
      <c r="E12" s="80"/>
      <c r="F12" s="80"/>
      <c r="G12" s="80"/>
      <c r="I12" s="80" t="s">
        <v>674</v>
      </c>
      <c r="J12">
        <f>3.8^2</f>
        <v>14.44</v>
      </c>
      <c r="L12">
        <v>6.5</v>
      </c>
      <c r="M12">
        <f>L12/K11</f>
        <v>4940</v>
      </c>
      <c r="O12" s="91"/>
      <c r="P12" s="61">
        <f>P11*5</f>
        <v>5.0000000000000001E-3</v>
      </c>
      <c r="Q12">
        <f t="shared" ref="Q12:Q19" si="5">(P12*3.8)</f>
        <v>1.9E-2</v>
      </c>
      <c r="R12">
        <f t="shared" si="1"/>
        <v>1.3157894736842105E-3</v>
      </c>
      <c r="S12" s="79">
        <v>17.649999999999999</v>
      </c>
      <c r="T12" s="79">
        <f t="shared" si="2"/>
        <v>13414</v>
      </c>
      <c r="U12" s="87">
        <f t="shared" si="3"/>
        <v>6.7069999999999999</v>
      </c>
      <c r="V12" s="87">
        <f t="shared" si="4"/>
        <v>0.67070000000000007</v>
      </c>
      <c r="W12" s="87">
        <f t="shared" si="4"/>
        <v>6.7070000000000005E-2</v>
      </c>
      <c r="X12" s="87">
        <f t="shared" si="4"/>
        <v>6.7070000000000012E-3</v>
      </c>
      <c r="Y12" s="87">
        <f t="shared" si="4"/>
        <v>6.7070000000000009E-4</v>
      </c>
      <c r="Z12" s="87">
        <f t="shared" si="4"/>
        <v>6.7070000000000007E-5</v>
      </c>
      <c r="AA12" s="87">
        <f t="shared" si="4"/>
        <v>6.707000000000002E-6</v>
      </c>
      <c r="AB12" s="87">
        <f t="shared" si="4"/>
        <v>6.707000000000002E-7</v>
      </c>
      <c r="AC12" s="87">
        <f t="shared" si="4"/>
        <v>6.7070000000000018E-8</v>
      </c>
    </row>
    <row r="13" spans="1:30" x14ac:dyDescent="0.2">
      <c r="D13" s="101"/>
      <c r="E13" s="80"/>
      <c r="F13" s="80"/>
      <c r="G13" s="80"/>
      <c r="I13" t="s">
        <v>675</v>
      </c>
      <c r="J13">
        <f>J11</f>
        <v>1.9E-2</v>
      </c>
      <c r="K13">
        <f>J13/J12</f>
        <v>1.3157894736842105E-3</v>
      </c>
      <c r="L13">
        <f>L11</f>
        <v>17.649999999999999</v>
      </c>
      <c r="M13">
        <f>L13/K13</f>
        <v>13414</v>
      </c>
      <c r="O13" s="91"/>
      <c r="P13" s="61">
        <f>P12*5</f>
        <v>2.5000000000000001E-2</v>
      </c>
      <c r="Q13">
        <f t="shared" si="5"/>
        <v>9.5000000000000001E-2</v>
      </c>
      <c r="R13">
        <f t="shared" si="1"/>
        <v>6.5789473684210531E-3</v>
      </c>
      <c r="S13" s="79">
        <v>17.649999999999999</v>
      </c>
      <c r="T13" s="79">
        <f t="shared" si="2"/>
        <v>2682.7999999999997</v>
      </c>
      <c r="U13" s="87">
        <f t="shared" si="3"/>
        <v>1.3413999999999999</v>
      </c>
      <c r="V13" s="87">
        <f t="shared" si="4"/>
        <v>0.13413999999999998</v>
      </c>
      <c r="W13" s="87">
        <f t="shared" si="4"/>
        <v>1.3414000000000001E-2</v>
      </c>
      <c r="X13" s="87">
        <f t="shared" si="4"/>
        <v>1.3414000000000002E-3</v>
      </c>
      <c r="Y13" s="87">
        <f t="shared" si="4"/>
        <v>1.3414000000000001E-4</v>
      </c>
      <c r="Z13" s="87">
        <f t="shared" si="4"/>
        <v>1.3414000000000001E-5</v>
      </c>
      <c r="AA13" s="87">
        <f t="shared" si="4"/>
        <v>1.3414000000000002E-6</v>
      </c>
      <c r="AB13" s="87">
        <f t="shared" si="4"/>
        <v>1.3414000000000004E-7</v>
      </c>
      <c r="AC13" s="87">
        <f t="shared" si="4"/>
        <v>1.3414000000000002E-8</v>
      </c>
    </row>
    <row r="14" spans="1:30" x14ac:dyDescent="0.2">
      <c r="D14" s="101"/>
      <c r="E14" s="80"/>
      <c r="F14" s="80"/>
      <c r="G14" s="80"/>
      <c r="O14" s="91"/>
      <c r="P14" s="61">
        <f t="shared" ref="P14:P19" si="6">P13*5</f>
        <v>0.125</v>
      </c>
      <c r="Q14">
        <f t="shared" si="5"/>
        <v>0.47499999999999998</v>
      </c>
      <c r="R14">
        <f t="shared" si="1"/>
        <v>3.2894736842105261E-2</v>
      </c>
      <c r="S14" s="79">
        <v>17.649999999999999</v>
      </c>
      <c r="T14" s="79">
        <f t="shared" si="2"/>
        <v>536.55999999999995</v>
      </c>
      <c r="U14" s="87">
        <f t="shared" si="3"/>
        <v>0.26827999999999996</v>
      </c>
      <c r="V14" s="87">
        <f t="shared" si="4"/>
        <v>2.6827999999999998E-2</v>
      </c>
      <c r="W14" s="87">
        <f t="shared" si="4"/>
        <v>2.6827999999999999E-3</v>
      </c>
      <c r="X14" s="87">
        <f t="shared" si="4"/>
        <v>2.6828000000000003E-4</v>
      </c>
      <c r="Y14" s="87">
        <f t="shared" si="4"/>
        <v>2.6828000000000005E-5</v>
      </c>
      <c r="Z14" s="87">
        <f t="shared" si="4"/>
        <v>2.6828000000000004E-6</v>
      </c>
      <c r="AA14" s="87">
        <f t="shared" si="4"/>
        <v>2.6828000000000007E-7</v>
      </c>
      <c r="AB14" s="87">
        <f t="shared" si="4"/>
        <v>2.6828000000000004E-8</v>
      </c>
      <c r="AC14" s="87">
        <f t="shared" si="4"/>
        <v>2.6828000000000003E-9</v>
      </c>
    </row>
    <row r="15" spans="1:30" x14ac:dyDescent="0.2">
      <c r="D15" s="101"/>
      <c r="E15" s="80"/>
      <c r="F15" s="80"/>
      <c r="G15" s="80"/>
      <c r="O15" s="91"/>
      <c r="P15" s="61">
        <f t="shared" si="6"/>
        <v>0.625</v>
      </c>
      <c r="Q15">
        <f t="shared" si="5"/>
        <v>2.375</v>
      </c>
      <c r="R15">
        <f t="shared" si="1"/>
        <v>0.16447368421052633</v>
      </c>
      <c r="S15" s="79">
        <v>17.649999999999999</v>
      </c>
      <c r="T15" s="79">
        <f t="shared" si="2"/>
        <v>107.31199999999998</v>
      </c>
      <c r="U15" s="87">
        <f t="shared" si="3"/>
        <v>5.3655999999999995E-2</v>
      </c>
      <c r="V15" s="87">
        <f t="shared" si="4"/>
        <v>5.365599999999999E-3</v>
      </c>
      <c r="W15" s="87">
        <f t="shared" si="4"/>
        <v>5.3655999999999994E-4</v>
      </c>
      <c r="X15" s="87">
        <f t="shared" si="4"/>
        <v>5.3656000000000003E-5</v>
      </c>
      <c r="Y15" s="87">
        <f t="shared" si="4"/>
        <v>5.3655999999999999E-6</v>
      </c>
      <c r="Z15" s="87">
        <f t="shared" si="4"/>
        <v>5.3656000000000003E-7</v>
      </c>
      <c r="AA15" s="87">
        <f t="shared" si="4"/>
        <v>5.3656000000000007E-8</v>
      </c>
      <c r="AB15" s="87">
        <f t="shared" si="4"/>
        <v>5.3656000000000006E-9</v>
      </c>
      <c r="AC15" s="87">
        <f t="shared" si="4"/>
        <v>5.3656000000000006E-10</v>
      </c>
    </row>
    <row r="16" spans="1:30" x14ac:dyDescent="0.2">
      <c r="E16" s="94" t="s">
        <v>660</v>
      </c>
      <c r="F16" s="94"/>
      <c r="G16" s="94"/>
      <c r="I16" t="s">
        <v>676</v>
      </c>
      <c r="O16" s="91"/>
      <c r="P16" s="85">
        <v>3.8</v>
      </c>
      <c r="Q16" s="26">
        <f t="shared" si="5"/>
        <v>14.44</v>
      </c>
      <c r="R16">
        <f t="shared" si="1"/>
        <v>1</v>
      </c>
      <c r="S16" s="86">
        <v>17.649999999999999</v>
      </c>
      <c r="T16" s="86">
        <f t="shared" si="2"/>
        <v>17.649999999999999</v>
      </c>
      <c r="U16" s="87">
        <f t="shared" si="3"/>
        <v>8.8249999999999995E-3</v>
      </c>
      <c r="V16" s="87">
        <f t="shared" si="4"/>
        <v>8.8249999999999993E-4</v>
      </c>
      <c r="W16" s="87">
        <f t="shared" si="4"/>
        <v>8.8250000000000004E-5</v>
      </c>
      <c r="X16" s="87">
        <f t="shared" si="4"/>
        <v>8.8250000000000011E-6</v>
      </c>
      <c r="Y16" s="87">
        <f t="shared" si="4"/>
        <v>8.8250000000000013E-7</v>
      </c>
      <c r="Z16" s="87">
        <f t="shared" si="4"/>
        <v>8.8250000000000013E-8</v>
      </c>
      <c r="AA16" s="87">
        <f t="shared" si="4"/>
        <v>8.8250000000000013E-9</v>
      </c>
      <c r="AB16" s="87">
        <f t="shared" si="4"/>
        <v>8.8250000000000021E-10</v>
      </c>
      <c r="AC16" s="87">
        <f t="shared" si="4"/>
        <v>8.8250000000000018E-11</v>
      </c>
    </row>
    <row r="17" spans="12:29" x14ac:dyDescent="0.2">
      <c r="O17" s="91"/>
      <c r="P17" s="61">
        <f t="shared" si="6"/>
        <v>19</v>
      </c>
      <c r="Q17">
        <f t="shared" si="5"/>
        <v>72.2</v>
      </c>
      <c r="R17">
        <f t="shared" si="1"/>
        <v>5</v>
      </c>
      <c r="S17" s="79">
        <v>17.649999999999999</v>
      </c>
      <c r="T17" s="79">
        <f t="shared" si="2"/>
        <v>3.53</v>
      </c>
      <c r="U17" s="87">
        <f t="shared" si="3"/>
        <v>1.7649999999999999E-3</v>
      </c>
      <c r="V17" s="87">
        <f t="shared" si="4"/>
        <v>1.7650000000000001E-4</v>
      </c>
      <c r="W17" s="87">
        <f t="shared" si="4"/>
        <v>1.7650000000000002E-5</v>
      </c>
      <c r="X17" s="87">
        <f t="shared" si="4"/>
        <v>1.7650000000000003E-6</v>
      </c>
      <c r="Y17" s="87">
        <f t="shared" si="4"/>
        <v>1.7650000000000003E-7</v>
      </c>
      <c r="Z17" s="87">
        <f t="shared" si="4"/>
        <v>1.7650000000000003E-8</v>
      </c>
      <c r="AA17" s="87">
        <f t="shared" si="4"/>
        <v>1.7650000000000004E-9</v>
      </c>
      <c r="AB17" s="87">
        <f t="shared" si="4"/>
        <v>1.7650000000000004E-10</v>
      </c>
      <c r="AC17" s="87">
        <f t="shared" si="4"/>
        <v>1.7650000000000005E-11</v>
      </c>
    </row>
    <row r="18" spans="12:29" x14ac:dyDescent="0.2">
      <c r="O18" s="91"/>
      <c r="P18" s="61">
        <f t="shared" si="6"/>
        <v>95</v>
      </c>
      <c r="Q18">
        <f t="shared" si="5"/>
        <v>361</v>
      </c>
      <c r="R18">
        <f t="shared" si="1"/>
        <v>25</v>
      </c>
      <c r="S18" s="79">
        <v>17.649999999999999</v>
      </c>
      <c r="T18" s="79">
        <f t="shared" si="2"/>
        <v>0.70599999999999996</v>
      </c>
      <c r="U18" s="87">
        <f t="shared" si="3"/>
        <v>3.5299999999999996E-4</v>
      </c>
      <c r="V18" s="87">
        <f t="shared" si="4"/>
        <v>3.5299999999999997E-5</v>
      </c>
      <c r="W18" s="87">
        <f t="shared" si="4"/>
        <v>3.5300000000000001E-6</v>
      </c>
      <c r="X18" s="87">
        <f t="shared" si="4"/>
        <v>3.5300000000000005E-7</v>
      </c>
      <c r="Y18" s="87">
        <f t="shared" si="4"/>
        <v>3.5300000000000005E-8</v>
      </c>
      <c r="Z18" s="87">
        <f t="shared" si="4"/>
        <v>3.5300000000000004E-9</v>
      </c>
      <c r="AA18" s="87">
        <f t="shared" si="4"/>
        <v>3.5300000000000007E-10</v>
      </c>
      <c r="AB18" s="87">
        <f t="shared" si="4"/>
        <v>3.530000000000001E-11</v>
      </c>
      <c r="AC18" s="87">
        <f t="shared" si="4"/>
        <v>3.5300000000000009E-12</v>
      </c>
    </row>
    <row r="19" spans="12:29" x14ac:dyDescent="0.2">
      <c r="L19" t="s">
        <v>677</v>
      </c>
      <c r="M19" s="61">
        <v>1E-3</v>
      </c>
      <c r="O19" s="91"/>
      <c r="P19" s="61">
        <f t="shared" si="6"/>
        <v>475</v>
      </c>
      <c r="Q19">
        <f t="shared" si="5"/>
        <v>1805</v>
      </c>
      <c r="R19">
        <f t="shared" si="1"/>
        <v>125</v>
      </c>
      <c r="S19" s="79">
        <v>17.649999999999999</v>
      </c>
      <c r="T19" s="79">
        <f t="shared" si="2"/>
        <v>0.14119999999999999</v>
      </c>
      <c r="U19" s="87">
        <f t="shared" si="3"/>
        <v>7.0599999999999995E-5</v>
      </c>
      <c r="V19" s="87">
        <f t="shared" si="4"/>
        <v>7.0600000000000002E-6</v>
      </c>
      <c r="W19" s="87">
        <f t="shared" si="4"/>
        <v>7.06E-7</v>
      </c>
      <c r="X19" s="87">
        <f t="shared" si="4"/>
        <v>7.060000000000001E-8</v>
      </c>
      <c r="Y19" s="87">
        <f t="shared" si="4"/>
        <v>7.0600000000000008E-9</v>
      </c>
      <c r="Z19" s="87">
        <f t="shared" si="4"/>
        <v>7.0600000000000004E-10</v>
      </c>
      <c r="AA19" s="87">
        <f t="shared" si="4"/>
        <v>7.060000000000002E-11</v>
      </c>
      <c r="AB19" s="87">
        <f t="shared" si="4"/>
        <v>7.0600000000000018E-12</v>
      </c>
      <c r="AC19" s="87">
        <f t="shared" si="4"/>
        <v>7.0600000000000012E-13</v>
      </c>
    </row>
    <row r="20" spans="12:29" x14ac:dyDescent="0.2">
      <c r="L20" t="s">
        <v>678</v>
      </c>
      <c r="M20">
        <v>500</v>
      </c>
      <c r="N20" t="s">
        <v>679</v>
      </c>
      <c r="P20" s="61"/>
    </row>
    <row r="21" spans="12:29" x14ac:dyDescent="0.2">
      <c r="L21" t="s">
        <v>664</v>
      </c>
      <c r="M21" s="61">
        <f>(((3*3.14)/4)*((M19^2)/(M20^2)))</f>
        <v>9.4199999999999998E-12</v>
      </c>
      <c r="P21" s="82" t="s">
        <v>680</v>
      </c>
      <c r="Q21">
        <v>500</v>
      </c>
      <c r="S21" t="s">
        <v>668</v>
      </c>
      <c r="T21">
        <v>17.649999999999999</v>
      </c>
    </row>
    <row r="22" spans="12:29" x14ac:dyDescent="0.2">
      <c r="N22" t="s">
        <v>681</v>
      </c>
      <c r="P22" s="61"/>
      <c r="V22" s="61"/>
    </row>
    <row r="23" spans="12:29" x14ac:dyDescent="0.2">
      <c r="L23" t="s">
        <v>682</v>
      </c>
      <c r="N23" s="59" t="e">
        <f>(#REF!/#REF!)*100</f>
        <v>#REF!</v>
      </c>
      <c r="Q23" s="61" t="s">
        <v>683</v>
      </c>
      <c r="R23" t="s">
        <v>664</v>
      </c>
      <c r="S23" t="s">
        <v>684</v>
      </c>
    </row>
    <row r="24" spans="12:29" x14ac:dyDescent="0.2">
      <c r="O24" s="102" t="s">
        <v>685</v>
      </c>
      <c r="P24" t="s">
        <v>686</v>
      </c>
      <c r="Q24" s="37">
        <v>1E-3</v>
      </c>
      <c r="R24" s="61">
        <f t="shared" ref="R24:R32" si="7">(((3*3.14)/4)*((Q24^2)/(Q$21^2)))</f>
        <v>9.4199999999999998E-12</v>
      </c>
      <c r="S24" s="83">
        <f t="shared" ref="S24:S32" si="8">R24*T11</f>
        <v>6.3179939999999997E-7</v>
      </c>
      <c r="T24" s="61"/>
      <c r="U24" s="61"/>
    </row>
    <row r="25" spans="12:29" x14ac:dyDescent="0.2">
      <c r="O25" s="102"/>
      <c r="P25" t="s">
        <v>687</v>
      </c>
      <c r="Q25" s="37">
        <f>Q24*5</f>
        <v>5.0000000000000001E-3</v>
      </c>
      <c r="R25" s="61">
        <f t="shared" si="7"/>
        <v>2.3550000000000001E-10</v>
      </c>
      <c r="S25" s="83">
        <f t="shared" si="8"/>
        <v>3.1589970000000003E-6</v>
      </c>
      <c r="T25" s="84"/>
      <c r="U25" s="61"/>
    </row>
    <row r="26" spans="12:29" x14ac:dyDescent="0.2">
      <c r="O26" s="102"/>
      <c r="P26" t="s">
        <v>688</v>
      </c>
      <c r="Q26" s="37">
        <f t="shared" ref="Q26:Q32" si="9">Q25*5</f>
        <v>2.5000000000000001E-2</v>
      </c>
      <c r="R26" s="61">
        <f t="shared" si="7"/>
        <v>5.8875000000000014E-9</v>
      </c>
      <c r="S26" s="83">
        <f t="shared" si="8"/>
        <v>1.5794985000000003E-5</v>
      </c>
      <c r="T26" s="84"/>
      <c r="U26" s="61"/>
    </row>
    <row r="27" spans="12:29" x14ac:dyDescent="0.2">
      <c r="P27" t="s">
        <v>689</v>
      </c>
      <c r="Q27" s="37">
        <f t="shared" si="9"/>
        <v>0.125</v>
      </c>
      <c r="R27" s="61">
        <f t="shared" si="7"/>
        <v>1.4718749999999999E-7</v>
      </c>
      <c r="S27" s="83">
        <f t="shared" si="8"/>
        <v>7.8974924999999983E-5</v>
      </c>
      <c r="T27" s="84"/>
      <c r="U27" s="61"/>
    </row>
    <row r="28" spans="12:29" x14ac:dyDescent="0.2">
      <c r="P28" t="s">
        <v>690</v>
      </c>
      <c r="Q28" s="37">
        <f t="shared" si="9"/>
        <v>0.625</v>
      </c>
      <c r="R28" s="61">
        <f t="shared" si="7"/>
        <v>3.6796875000000001E-6</v>
      </c>
      <c r="S28" s="83">
        <f t="shared" si="8"/>
        <v>3.9487462499999997E-4</v>
      </c>
      <c r="T28" s="84"/>
      <c r="U28" s="61"/>
    </row>
    <row r="29" spans="12:29" x14ac:dyDescent="0.2">
      <c r="P29" t="s">
        <v>691</v>
      </c>
      <c r="Q29" s="37">
        <f t="shared" si="9"/>
        <v>3.125</v>
      </c>
      <c r="R29" s="61">
        <f t="shared" si="7"/>
        <v>9.1992187500000006E-5</v>
      </c>
      <c r="S29" s="83">
        <f t="shared" si="8"/>
        <v>1.6236621093750001E-3</v>
      </c>
      <c r="T29" s="84"/>
      <c r="U29" s="61"/>
    </row>
    <row r="30" spans="12:29" x14ac:dyDescent="0.2">
      <c r="P30" t="s">
        <v>692</v>
      </c>
      <c r="Q30" s="37">
        <f t="shared" si="9"/>
        <v>15.625</v>
      </c>
      <c r="R30" s="61">
        <f t="shared" si="7"/>
        <v>2.2998046875E-3</v>
      </c>
      <c r="S30" s="83">
        <f t="shared" si="8"/>
        <v>8.1183105468750003E-3</v>
      </c>
      <c r="T30" s="84"/>
      <c r="U30" s="61"/>
    </row>
    <row r="31" spans="12:29" x14ac:dyDescent="0.2">
      <c r="P31" t="s">
        <v>693</v>
      </c>
      <c r="Q31" s="37">
        <f t="shared" si="9"/>
        <v>78.125</v>
      </c>
      <c r="R31" s="61">
        <f t="shared" si="7"/>
        <v>5.74951171875E-2</v>
      </c>
      <c r="S31" s="83">
        <f t="shared" si="8"/>
        <v>4.0591552734374994E-2</v>
      </c>
      <c r="T31" s="84"/>
      <c r="U31" s="61"/>
    </row>
    <row r="32" spans="12:29" x14ac:dyDescent="0.2">
      <c r="P32" t="s">
        <v>694</v>
      </c>
      <c r="Q32" s="37">
        <f t="shared" si="9"/>
        <v>390.625</v>
      </c>
      <c r="R32" s="61">
        <f t="shared" si="7"/>
        <v>1.4373779296875</v>
      </c>
      <c r="S32" s="83">
        <f t="shared" si="8"/>
        <v>0.20295776367187499</v>
      </c>
      <c r="T32" s="84"/>
      <c r="U32" s="61"/>
    </row>
    <row r="36" spans="1:19" x14ac:dyDescent="0.2">
      <c r="R36" s="94"/>
      <c r="S36" s="94"/>
    </row>
    <row r="38" spans="1:19" x14ac:dyDescent="0.2">
      <c r="A38" t="s">
        <v>695</v>
      </c>
    </row>
    <row r="40" spans="1:19" x14ac:dyDescent="0.2">
      <c r="Q40" s="60"/>
      <c r="R40" s="61"/>
      <c r="S40" s="62"/>
    </row>
  </sheetData>
  <mergeCells count="8">
    <mergeCell ref="A3:F3"/>
    <mergeCell ref="R36:S36"/>
    <mergeCell ref="D7:D15"/>
    <mergeCell ref="O7:O9"/>
    <mergeCell ref="U9:Z9"/>
    <mergeCell ref="O11:O19"/>
    <mergeCell ref="E16:G16"/>
    <mergeCell ref="O24:O26"/>
  </mergeCells>
  <phoneticPr fontId="16" type="noConversion"/>
  <pageMargins left="0.75" right="0.75" top="1" bottom="1" header="0.5" footer="0.5"/>
  <pageSetup scale="25" orientation="portrait" horizontalDpi="4294967292" verticalDpi="4294967292"/>
  <rowBreaks count="1" manualBreakCount="1">
    <brk id="41" max="16383" man="1"/>
  </rowBreaks>
  <colBreaks count="1" manualBreakCount="1">
    <brk id="30" max="1048575" man="1"/>
  </colBreaks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Y34"/>
  <sheetViews>
    <sheetView workbookViewId="0">
      <selection sqref="A1:A2"/>
    </sheetView>
  </sheetViews>
  <sheetFormatPr baseColWidth="10" defaultRowHeight="16" x14ac:dyDescent="0.2"/>
  <cols>
    <col min="1" max="1" width="32.83203125" style="2" customWidth="1"/>
    <col min="2" max="11" width="10.1640625" style="2" customWidth="1"/>
    <col min="12" max="12" width="14.1640625" style="2" customWidth="1"/>
    <col min="13" max="13" width="20.6640625" style="2" customWidth="1"/>
    <col min="14" max="16384" width="10.83203125" style="2"/>
  </cols>
  <sheetData>
    <row r="1" spans="1:13" s="88" customFormat="1" x14ac:dyDescent="0.2">
      <c r="A1" s="116" t="s">
        <v>697</v>
      </c>
    </row>
    <row r="2" spans="1:13" s="88" customFormat="1" x14ac:dyDescent="0.2">
      <c r="A2" s="117" t="s">
        <v>698</v>
      </c>
    </row>
    <row r="3" spans="1:13" x14ac:dyDescent="0.2">
      <c r="A3" s="1" t="s">
        <v>579</v>
      </c>
      <c r="B3" s="91" t="s">
        <v>0</v>
      </c>
      <c r="C3" s="91"/>
      <c r="D3" s="91"/>
      <c r="E3" s="91"/>
      <c r="F3" s="91"/>
      <c r="G3" s="91"/>
      <c r="H3" s="91"/>
      <c r="I3" s="91"/>
    </row>
    <row r="4" spans="1:13" ht="34" x14ac:dyDescent="0.2">
      <c r="A4" s="2" t="s">
        <v>1</v>
      </c>
      <c r="B4" s="2" t="s">
        <v>2</v>
      </c>
      <c r="C4" s="2" t="s">
        <v>3</v>
      </c>
      <c r="D4" s="2" t="s">
        <v>4</v>
      </c>
      <c r="E4" s="2" t="s">
        <v>5</v>
      </c>
      <c r="F4" s="2" t="s">
        <v>6</v>
      </c>
      <c r="G4" s="2" t="s">
        <v>8</v>
      </c>
      <c r="H4" s="2" t="s">
        <v>7</v>
      </c>
      <c r="I4" s="2" t="s">
        <v>9</v>
      </c>
      <c r="J4" s="2" t="s">
        <v>10</v>
      </c>
      <c r="L4" s="2" t="s">
        <v>628</v>
      </c>
    </row>
    <row r="5" spans="1:13" ht="17" x14ac:dyDescent="0.2">
      <c r="A5" s="2" t="s">
        <v>11</v>
      </c>
      <c r="B5" s="4" t="s">
        <v>655</v>
      </c>
      <c r="C5" s="4" t="s">
        <v>656</v>
      </c>
      <c r="D5" s="2" t="s">
        <v>632</v>
      </c>
      <c r="E5" s="2" t="s">
        <v>631</v>
      </c>
      <c r="F5" s="2">
        <v>0</v>
      </c>
      <c r="G5" s="4" t="s">
        <v>630</v>
      </c>
      <c r="H5" s="2">
        <v>0</v>
      </c>
      <c r="I5" s="2" t="s">
        <v>633</v>
      </c>
      <c r="J5" s="2">
        <v>0.99999999999999989</v>
      </c>
      <c r="K5" s="5"/>
      <c r="L5" s="3">
        <v>0.96</v>
      </c>
      <c r="M5" s="4"/>
    </row>
    <row r="6" spans="1:13" ht="17" x14ac:dyDescent="0.2">
      <c r="A6" s="2" t="s">
        <v>13</v>
      </c>
      <c r="B6" s="4" t="s">
        <v>653</v>
      </c>
      <c r="C6" s="4" t="s">
        <v>654</v>
      </c>
      <c r="D6" s="2" t="s">
        <v>634</v>
      </c>
      <c r="E6" s="2" t="s">
        <v>635</v>
      </c>
      <c r="F6" s="4" t="s">
        <v>657</v>
      </c>
      <c r="G6" s="4" t="s">
        <v>636</v>
      </c>
      <c r="H6" s="2">
        <v>0</v>
      </c>
      <c r="I6" s="2" t="s">
        <v>637</v>
      </c>
      <c r="J6" s="6">
        <v>1.0000099999999998</v>
      </c>
      <c r="K6" s="5"/>
      <c r="L6" s="3">
        <v>0.92441741643978104</v>
      </c>
    </row>
    <row r="7" spans="1:13" ht="17" x14ac:dyDescent="0.2">
      <c r="A7" s="2" t="s">
        <v>14</v>
      </c>
      <c r="B7" s="4" t="s">
        <v>650</v>
      </c>
      <c r="C7" s="4" t="s">
        <v>651</v>
      </c>
      <c r="D7" s="2">
        <v>0</v>
      </c>
      <c r="E7" s="4" t="s">
        <v>652</v>
      </c>
      <c r="F7" s="4" t="s">
        <v>658</v>
      </c>
      <c r="G7" s="4" t="s">
        <v>638</v>
      </c>
      <c r="H7" s="2">
        <v>0</v>
      </c>
      <c r="I7" s="2" t="s">
        <v>633</v>
      </c>
      <c r="J7" s="2">
        <v>1</v>
      </c>
      <c r="K7" s="5"/>
      <c r="L7" s="3">
        <v>0.88097795006654389</v>
      </c>
    </row>
    <row r="8" spans="1:13" ht="17" x14ac:dyDescent="0.2">
      <c r="A8" s="2" t="s">
        <v>15</v>
      </c>
      <c r="B8" s="4" t="s">
        <v>647</v>
      </c>
      <c r="C8" s="4" t="s">
        <v>648</v>
      </c>
      <c r="D8" s="2">
        <v>0</v>
      </c>
      <c r="E8" s="4" t="s">
        <v>649</v>
      </c>
      <c r="F8" s="2">
        <v>0</v>
      </c>
      <c r="G8" s="4" t="s">
        <v>638</v>
      </c>
      <c r="H8" s="2">
        <v>0</v>
      </c>
      <c r="I8" s="2" t="s">
        <v>639</v>
      </c>
      <c r="J8" s="2">
        <v>1</v>
      </c>
      <c r="K8" s="5"/>
      <c r="L8" s="3">
        <v>0.68479102528719082</v>
      </c>
    </row>
    <row r="9" spans="1:13" ht="17" x14ac:dyDescent="0.2">
      <c r="A9" s="2" t="s">
        <v>16</v>
      </c>
      <c r="B9" s="4" t="s">
        <v>646</v>
      </c>
      <c r="C9" s="4" t="s">
        <v>645</v>
      </c>
      <c r="D9" s="2">
        <v>0</v>
      </c>
      <c r="E9" s="4" t="s">
        <v>644</v>
      </c>
      <c r="F9" s="2">
        <v>0</v>
      </c>
      <c r="G9" s="4" t="s">
        <v>635</v>
      </c>
      <c r="H9" s="2" t="s">
        <v>643</v>
      </c>
      <c r="I9" s="2" t="s">
        <v>638</v>
      </c>
      <c r="J9" s="2">
        <v>1</v>
      </c>
      <c r="K9" s="5"/>
      <c r="L9" s="3">
        <v>0.70392206069990215</v>
      </c>
    </row>
    <row r="10" spans="1:13" ht="17" x14ac:dyDescent="0.2">
      <c r="A10" s="2" t="s">
        <v>17</v>
      </c>
      <c r="B10" s="4" t="s">
        <v>641</v>
      </c>
      <c r="C10" s="4" t="s">
        <v>640</v>
      </c>
      <c r="D10" s="4" t="s">
        <v>642</v>
      </c>
      <c r="E10" s="2" t="s">
        <v>631</v>
      </c>
      <c r="F10" s="4">
        <v>2.4034168041506966E-2</v>
      </c>
      <c r="G10" s="4" t="s">
        <v>636</v>
      </c>
      <c r="H10" s="2">
        <v>0</v>
      </c>
      <c r="I10" s="2" t="s">
        <v>633</v>
      </c>
      <c r="J10" s="2">
        <v>1</v>
      </c>
      <c r="K10" s="5"/>
      <c r="L10" s="3">
        <v>0.92903416804150696</v>
      </c>
    </row>
    <row r="11" spans="1:13" x14ac:dyDescent="0.2">
      <c r="B11" s="3"/>
      <c r="C11" s="3"/>
    </row>
    <row r="12" spans="1:13" ht="17" x14ac:dyDescent="0.2">
      <c r="A12" s="2" t="s">
        <v>18</v>
      </c>
      <c r="B12" s="3">
        <v>0.40680000000000005</v>
      </c>
      <c r="C12" s="3">
        <v>0.42713833333333334</v>
      </c>
      <c r="D12" s="4">
        <v>1.1191666666666664E-2</v>
      </c>
      <c r="E12" s="4">
        <v>0.10743000000000001</v>
      </c>
      <c r="F12" s="4">
        <v>2.3070000000000004E-2</v>
      </c>
      <c r="G12" s="4">
        <v>4.1666666666666669E-4</v>
      </c>
      <c r="H12" s="4">
        <v>1.7876666666666666E-2</v>
      </c>
      <c r="I12" s="4">
        <v>6.025E-3</v>
      </c>
      <c r="J12" s="4">
        <v>0.99994833333333344</v>
      </c>
    </row>
    <row r="14" spans="1:13" ht="34" x14ac:dyDescent="0.2">
      <c r="A14" s="2" t="s">
        <v>629</v>
      </c>
    </row>
    <row r="15" spans="1:13" x14ac:dyDescent="0.2">
      <c r="J15" s="6"/>
    </row>
    <row r="17" spans="2:25" x14ac:dyDescent="0.2">
      <c r="K17" s="3"/>
    </row>
    <row r="18" spans="2:25" x14ac:dyDescent="0.2">
      <c r="J18" s="6"/>
      <c r="K18" s="3"/>
    </row>
    <row r="19" spans="2:25" x14ac:dyDescent="0.2">
      <c r="J19" s="6"/>
      <c r="K19" s="3"/>
    </row>
    <row r="20" spans="2:25" x14ac:dyDescent="0.2">
      <c r="J20" s="6"/>
      <c r="K20" s="3"/>
    </row>
    <row r="21" spans="2:25" x14ac:dyDescent="0.2">
      <c r="J21" s="6"/>
      <c r="K21" s="3"/>
      <c r="U21" s="11"/>
      <c r="V21" s="11"/>
      <c r="W21" s="11"/>
      <c r="X21" s="14"/>
      <c r="Y21" s="14"/>
    </row>
    <row r="22" spans="2:25" x14ac:dyDescent="0.2">
      <c r="J22" s="6"/>
      <c r="K22" s="3"/>
    </row>
    <row r="23" spans="2:25" x14ac:dyDescent="0.2">
      <c r="D23" s="7"/>
    </row>
    <row r="24" spans="2:25" x14ac:dyDescent="0.2">
      <c r="B24" s="53"/>
      <c r="C24" s="53"/>
      <c r="D24" s="53"/>
      <c r="E24" s="53"/>
      <c r="F24" s="53"/>
      <c r="G24" s="53"/>
      <c r="H24" s="53"/>
      <c r="I24" s="53"/>
    </row>
    <row r="25" spans="2:25" x14ac:dyDescent="0.2">
      <c r="B25" s="53"/>
      <c r="C25" s="53"/>
      <c r="D25" s="53"/>
      <c r="E25" s="53"/>
      <c r="F25" s="53"/>
      <c r="G25" s="53"/>
      <c r="H25" s="53"/>
      <c r="I25" s="53"/>
    </row>
    <row r="26" spans="2:25" x14ac:dyDescent="0.2">
      <c r="B26" s="53"/>
      <c r="C26" s="53"/>
      <c r="D26" s="53"/>
      <c r="E26" s="53"/>
      <c r="F26" s="53"/>
      <c r="G26" s="53"/>
      <c r="H26" s="53"/>
      <c r="I26" s="53"/>
    </row>
    <row r="27" spans="2:25" x14ac:dyDescent="0.2">
      <c r="B27" s="53"/>
      <c r="C27" s="54"/>
      <c r="D27" s="54"/>
      <c r="E27" s="54"/>
      <c r="F27" s="54"/>
      <c r="G27" s="54"/>
      <c r="H27" s="54"/>
      <c r="I27" s="53"/>
    </row>
    <row r="28" spans="2:25" x14ac:dyDescent="0.2">
      <c r="B28" s="53"/>
      <c r="C28" s="54"/>
      <c r="D28" s="54"/>
      <c r="E28" s="54"/>
      <c r="F28" s="54"/>
      <c r="G28" s="54"/>
      <c r="H28" s="54"/>
      <c r="I28" s="53"/>
    </row>
    <row r="29" spans="2:25" x14ac:dyDescent="0.2">
      <c r="B29" s="53"/>
      <c r="C29" s="55"/>
      <c r="D29" s="55"/>
      <c r="E29" s="55"/>
      <c r="F29" s="55"/>
      <c r="G29" s="55"/>
      <c r="H29" s="55"/>
      <c r="I29" s="53"/>
    </row>
    <row r="30" spans="2:25" x14ac:dyDescent="0.2">
      <c r="C30" s="55"/>
      <c r="D30" s="55"/>
      <c r="E30" s="55"/>
      <c r="F30" s="55"/>
      <c r="G30" s="55"/>
      <c r="H30" s="55"/>
    </row>
    <row r="31" spans="2:25" x14ac:dyDescent="0.2">
      <c r="C31" s="54"/>
      <c r="D31" s="54"/>
      <c r="E31" s="54"/>
      <c r="F31" s="54"/>
      <c r="G31" s="54"/>
      <c r="H31" s="54"/>
    </row>
    <row r="32" spans="2:25" x14ac:dyDescent="0.2">
      <c r="C32" s="54"/>
      <c r="D32" s="54"/>
      <c r="E32" s="54"/>
      <c r="F32" s="54"/>
      <c r="G32" s="54"/>
      <c r="H32" s="54"/>
    </row>
    <row r="33" spans="3:8" x14ac:dyDescent="0.2">
      <c r="C33" s="54"/>
      <c r="D33" s="54"/>
      <c r="E33" s="54"/>
      <c r="F33" s="54"/>
      <c r="G33" s="54"/>
      <c r="H33" s="54"/>
    </row>
    <row r="34" spans="3:8" x14ac:dyDescent="0.2">
      <c r="C34" s="55"/>
      <c r="D34" s="55"/>
      <c r="E34" s="55"/>
      <c r="F34" s="55"/>
      <c r="G34" s="55"/>
      <c r="H34" s="55"/>
    </row>
  </sheetData>
  <mergeCells count="1">
    <mergeCell ref="B3:I3"/>
  </mergeCells>
  <phoneticPr fontId="16" type="noConversion"/>
  <pageMargins left="0.75" right="0.75" top="1" bottom="1" header="0.5" footer="0.5"/>
  <pageSetup scale="56" orientation="portrait" horizontalDpi="4294967292" verticalDpi="4294967292"/>
  <rowBreaks count="1" manualBreakCount="1">
    <brk id="21" max="16383" man="1"/>
  </rowBreaks>
  <colBreaks count="1" manualBreakCount="1">
    <brk id="12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6"/>
  <sheetViews>
    <sheetView workbookViewId="0">
      <selection sqref="A1:A2"/>
    </sheetView>
  </sheetViews>
  <sheetFormatPr baseColWidth="10" defaultRowHeight="16" x14ac:dyDescent="0.2"/>
  <cols>
    <col min="1" max="1" width="25.83203125" customWidth="1"/>
    <col min="16" max="16" width="43.5" customWidth="1"/>
    <col min="18" max="18" width="13.1640625" bestFit="1" customWidth="1"/>
  </cols>
  <sheetData>
    <row r="1" spans="1:18" x14ac:dyDescent="0.2">
      <c r="A1" s="116" t="s">
        <v>697</v>
      </c>
    </row>
    <row r="2" spans="1:18" x14ac:dyDescent="0.2">
      <c r="A2" s="117" t="s">
        <v>698</v>
      </c>
    </row>
    <row r="3" spans="1:18" x14ac:dyDescent="0.2">
      <c r="A3" s="8" t="s">
        <v>618</v>
      </c>
      <c r="B3" s="65"/>
      <c r="C3" s="65"/>
      <c r="D3" s="65"/>
      <c r="E3" s="92" t="s">
        <v>75</v>
      </c>
      <c r="F3" s="92"/>
      <c r="G3" s="96" t="s">
        <v>76</v>
      </c>
      <c r="H3" s="96"/>
      <c r="I3" s="97" t="s">
        <v>576</v>
      </c>
      <c r="J3" s="98"/>
      <c r="K3" s="65"/>
      <c r="L3" s="65"/>
      <c r="M3" s="65"/>
      <c r="N3" s="66"/>
      <c r="O3" s="66"/>
      <c r="P3" s="66"/>
    </row>
    <row r="4" spans="1:18" x14ac:dyDescent="0.2">
      <c r="A4" s="65"/>
      <c r="B4" s="92" t="s">
        <v>77</v>
      </c>
      <c r="C4" s="92"/>
      <c r="D4" s="92"/>
      <c r="E4" s="92" t="s">
        <v>78</v>
      </c>
      <c r="F4" s="92"/>
      <c r="G4" s="92" t="s">
        <v>78</v>
      </c>
      <c r="H4" s="92"/>
      <c r="I4" s="93" t="s">
        <v>532</v>
      </c>
      <c r="J4" s="93"/>
      <c r="K4" s="95" t="s">
        <v>79</v>
      </c>
      <c r="L4" s="95"/>
      <c r="M4" s="66"/>
      <c r="N4" s="66"/>
      <c r="O4" s="66"/>
      <c r="P4" s="65" t="s">
        <v>80</v>
      </c>
    </row>
    <row r="5" spans="1:18" x14ac:dyDescent="0.2">
      <c r="A5" s="65" t="s">
        <v>81</v>
      </c>
      <c r="B5" s="67" t="s">
        <v>44</v>
      </c>
      <c r="C5" s="67" t="s">
        <v>46</v>
      </c>
      <c r="D5" s="67" t="s">
        <v>50</v>
      </c>
      <c r="E5" s="67" t="s">
        <v>46</v>
      </c>
      <c r="F5" s="67" t="s">
        <v>50</v>
      </c>
      <c r="G5" s="67" t="s">
        <v>46</v>
      </c>
      <c r="H5" s="67" t="s">
        <v>50</v>
      </c>
      <c r="I5" s="44" t="s">
        <v>526</v>
      </c>
      <c r="J5" s="44" t="s">
        <v>527</v>
      </c>
      <c r="K5" s="67" t="s">
        <v>82</v>
      </c>
      <c r="L5" s="67" t="s">
        <v>83</v>
      </c>
      <c r="M5" s="67" t="s">
        <v>594</v>
      </c>
      <c r="N5" s="67" t="s">
        <v>593</v>
      </c>
      <c r="O5" s="67" t="s">
        <v>595</v>
      </c>
      <c r="P5" s="65"/>
    </row>
    <row r="6" spans="1:18" x14ac:dyDescent="0.2">
      <c r="A6" s="65" t="s">
        <v>84</v>
      </c>
      <c r="B6" s="68">
        <v>901</v>
      </c>
      <c r="C6" s="69">
        <v>167.7660258856647</v>
      </c>
      <c r="D6" s="70">
        <v>2.5072305296155171</v>
      </c>
      <c r="E6" s="71">
        <v>91.935420218074171</v>
      </c>
      <c r="F6" s="72">
        <v>8.8500152319129093</v>
      </c>
      <c r="G6" s="15">
        <v>114.56</v>
      </c>
      <c r="H6" s="16">
        <v>11.04</v>
      </c>
      <c r="I6" s="52">
        <v>14.95</v>
      </c>
      <c r="J6" s="51">
        <v>2.2000000000000002</v>
      </c>
      <c r="K6" s="17">
        <f t="shared" ref="K6:L11" si="0">C6/G6</f>
        <v>1.4644380751192798</v>
      </c>
      <c r="L6" s="18">
        <f t="shared" si="0"/>
        <v>0.2271042146390867</v>
      </c>
      <c r="M6" s="32">
        <v>3.0329670329670328</v>
      </c>
      <c r="N6" s="73">
        <v>8.867469879518074E-3</v>
      </c>
      <c r="O6" s="74">
        <v>10.82361457326869</v>
      </c>
      <c r="P6" s="66"/>
      <c r="Q6" s="59"/>
      <c r="R6" s="63"/>
    </row>
    <row r="7" spans="1:18" x14ac:dyDescent="0.2">
      <c r="A7" s="65" t="s">
        <v>36</v>
      </c>
      <c r="B7" s="68">
        <v>1783</v>
      </c>
      <c r="C7" s="69">
        <v>258.28105581390366</v>
      </c>
      <c r="D7" s="70">
        <v>1.3934464029256002</v>
      </c>
      <c r="E7" s="75">
        <v>108.50805308224892</v>
      </c>
      <c r="F7" s="76">
        <v>7.0528021437123698</v>
      </c>
      <c r="G7" s="15">
        <v>136.83000000000001</v>
      </c>
      <c r="H7" s="16">
        <v>8.85</v>
      </c>
      <c r="I7" s="52">
        <v>68.069999999999993</v>
      </c>
      <c r="J7" s="51">
        <v>3.09</v>
      </c>
      <c r="K7" s="17">
        <f t="shared" si="0"/>
        <v>1.8876054652773782</v>
      </c>
      <c r="L7" s="18">
        <f t="shared" si="0"/>
        <v>0.15745157095204523</v>
      </c>
      <c r="M7" s="32">
        <v>4.3382352941176467</v>
      </c>
      <c r="N7" s="73">
        <v>2.0118208683791768E-3</v>
      </c>
      <c r="O7" s="74">
        <v>22.4592222446873</v>
      </c>
      <c r="P7" s="65"/>
      <c r="Q7" s="59"/>
      <c r="R7" s="63"/>
    </row>
    <row r="8" spans="1:18" x14ac:dyDescent="0.2">
      <c r="A8" s="65" t="s">
        <v>85</v>
      </c>
      <c r="B8" s="68">
        <v>2342</v>
      </c>
      <c r="C8" s="69">
        <v>199.54832296079749</v>
      </c>
      <c r="D8" s="70">
        <v>0.83160894103664129</v>
      </c>
      <c r="E8" s="75">
        <v>152.248594733391</v>
      </c>
      <c r="F8" s="76">
        <v>5.3720140773350371</v>
      </c>
      <c r="G8" s="15">
        <v>189.25</v>
      </c>
      <c r="H8" s="16">
        <v>6.73</v>
      </c>
      <c r="I8" s="52">
        <v>10.71</v>
      </c>
      <c r="J8" s="51">
        <v>2.1800000000000002</v>
      </c>
      <c r="K8" s="17">
        <f t="shared" si="0"/>
        <v>1.0544165017743592</v>
      </c>
      <c r="L8" s="18">
        <f t="shared" si="0"/>
        <v>0.12356745037691549</v>
      </c>
      <c r="M8" s="32">
        <v>2.8041666666666671</v>
      </c>
      <c r="N8" s="73">
        <v>1.1583476764199654E-2</v>
      </c>
      <c r="O8" s="74">
        <v>15.837168488952182</v>
      </c>
      <c r="P8" s="65"/>
      <c r="Q8" s="59"/>
      <c r="R8" s="63"/>
    </row>
    <row r="9" spans="1:18" x14ac:dyDescent="0.2">
      <c r="A9" s="65" t="s">
        <v>15</v>
      </c>
      <c r="B9" s="68">
        <v>5123</v>
      </c>
      <c r="C9" s="69">
        <v>241.04550041148394</v>
      </c>
      <c r="D9" s="70">
        <v>3.2298619724762467</v>
      </c>
      <c r="E9" s="75">
        <v>154.37273663345937</v>
      </c>
      <c r="F9" s="76">
        <v>9.0635182514663502</v>
      </c>
      <c r="G9" s="15">
        <v>193.23</v>
      </c>
      <c r="H9" s="16">
        <v>11.34</v>
      </c>
      <c r="I9" s="52">
        <v>52</v>
      </c>
      <c r="J9" s="51">
        <v>3.1</v>
      </c>
      <c r="K9" s="17">
        <f t="shared" si="0"/>
        <v>1.2474538136494537</v>
      </c>
      <c r="L9" s="18">
        <f t="shared" si="0"/>
        <v>0.28482027975981011</v>
      </c>
      <c r="M9" s="32">
        <v>5.1780821917808222</v>
      </c>
      <c r="N9" s="73">
        <v>8.5391566265060233E-3</v>
      </c>
      <c r="O9" s="74">
        <v>17.341402907301003</v>
      </c>
      <c r="P9" s="65"/>
      <c r="Q9" s="59"/>
      <c r="R9" s="63"/>
    </row>
    <row r="10" spans="1:18" x14ac:dyDescent="0.2">
      <c r="A10" s="65" t="s">
        <v>16</v>
      </c>
      <c r="B10" s="68">
        <v>6836</v>
      </c>
      <c r="C10" s="69">
        <v>414.50300108368532</v>
      </c>
      <c r="D10" s="70">
        <v>8.1581516482342966</v>
      </c>
      <c r="E10" s="75">
        <v>160.25488232378837</v>
      </c>
      <c r="F10" s="76">
        <v>16.06494855170456</v>
      </c>
      <c r="G10" s="15">
        <v>199.28</v>
      </c>
      <c r="H10" s="16">
        <v>19.940000000000001</v>
      </c>
      <c r="I10" s="52">
        <v>12.49</v>
      </c>
      <c r="J10" s="51">
        <v>2.41</v>
      </c>
      <c r="K10" s="17">
        <f t="shared" si="0"/>
        <v>2.0800030162770238</v>
      </c>
      <c r="L10" s="18">
        <f t="shared" si="0"/>
        <v>0.4091349873738363</v>
      </c>
      <c r="M10" s="32">
        <v>4.6807511737089209</v>
      </c>
      <c r="N10" s="73">
        <v>2.1840087623220157E-2</v>
      </c>
      <c r="O10" s="74">
        <v>32.132015587882584</v>
      </c>
      <c r="P10" s="65" t="s">
        <v>617</v>
      </c>
      <c r="Q10" s="59"/>
      <c r="R10" s="63"/>
    </row>
    <row r="11" spans="1:18" x14ac:dyDescent="0.2">
      <c r="A11" s="65" t="s">
        <v>17</v>
      </c>
      <c r="B11" s="68">
        <v>1663</v>
      </c>
      <c r="C11" s="69">
        <v>145</v>
      </c>
      <c r="D11" s="70">
        <v>1.29</v>
      </c>
      <c r="E11" s="75">
        <v>111.59892234149811</v>
      </c>
      <c r="F11" s="76">
        <v>7.0989212909925463</v>
      </c>
      <c r="G11" s="15">
        <v>138.78</v>
      </c>
      <c r="H11" s="16">
        <v>8.84</v>
      </c>
      <c r="I11" s="51">
        <v>9.11</v>
      </c>
      <c r="J11" s="51">
        <v>1.47</v>
      </c>
      <c r="K11" s="17">
        <f t="shared" si="0"/>
        <v>1.0448191382043521</v>
      </c>
      <c r="L11" s="18">
        <f t="shared" si="0"/>
        <v>0.14592760180995476</v>
      </c>
      <c r="M11" s="32">
        <v>4.2296650717703352</v>
      </c>
      <c r="N11" s="73">
        <v>2.0883534136546186E-3</v>
      </c>
      <c r="O11" s="74">
        <v>11.215112088275561</v>
      </c>
      <c r="P11" s="8" t="s">
        <v>578</v>
      </c>
      <c r="Q11" s="59"/>
      <c r="R11" s="63"/>
    </row>
    <row r="12" spans="1:18" x14ac:dyDescent="0.2">
      <c r="A12" s="77"/>
      <c r="B12" s="77"/>
      <c r="C12" s="77"/>
      <c r="D12" s="77"/>
      <c r="E12" s="77"/>
      <c r="F12" s="77"/>
      <c r="G12" s="77"/>
      <c r="H12" s="77"/>
      <c r="I12" s="74"/>
      <c r="J12" s="74"/>
      <c r="K12" s="18"/>
      <c r="L12" s="18"/>
      <c r="M12" s="65"/>
      <c r="N12" s="66"/>
      <c r="O12" s="66"/>
      <c r="P12" s="66"/>
    </row>
    <row r="13" spans="1:18" x14ac:dyDescent="0.2">
      <c r="A13" s="65" t="s">
        <v>86</v>
      </c>
      <c r="B13" s="65"/>
      <c r="C13" s="74">
        <f t="shared" ref="C13:H13" si="1">AVERAGE(C6:C11)</f>
        <v>237.69065102592253</v>
      </c>
      <c r="D13" s="74">
        <f t="shared" si="1"/>
        <v>2.901716582381384</v>
      </c>
      <c r="E13" s="74">
        <f t="shared" si="1"/>
        <v>129.81976822207665</v>
      </c>
      <c r="F13" s="74">
        <f t="shared" si="1"/>
        <v>8.917036591187296</v>
      </c>
      <c r="G13" s="74">
        <f t="shared" si="1"/>
        <v>161.98833333333332</v>
      </c>
      <c r="H13" s="74">
        <f t="shared" si="1"/>
        <v>11.123333333333335</v>
      </c>
      <c r="I13" s="74"/>
      <c r="J13" s="74"/>
      <c r="K13" s="18"/>
      <c r="L13" s="18"/>
      <c r="M13" s="65"/>
      <c r="N13" s="66"/>
      <c r="O13" s="66"/>
      <c r="P13" s="66"/>
    </row>
    <row r="14" spans="1:18" x14ac:dyDescent="0.2">
      <c r="A14" s="65" t="s">
        <v>87</v>
      </c>
      <c r="B14" s="65"/>
      <c r="C14" s="74">
        <f t="shared" ref="C14:H14" si="2">STDEV(C6:C11)</f>
        <v>96.575021714234225</v>
      </c>
      <c r="D14" s="74">
        <f t="shared" si="2"/>
        <v>2.7221779209782753</v>
      </c>
      <c r="E14" s="74">
        <f t="shared" si="2"/>
        <v>29.167135400524145</v>
      </c>
      <c r="F14" s="74">
        <f t="shared" si="2"/>
        <v>3.7541095369841457</v>
      </c>
      <c r="G14" s="74">
        <f t="shared" si="2"/>
        <v>36.141178407277586</v>
      </c>
      <c r="H14" s="74">
        <f t="shared" si="2"/>
        <v>4.6361737097165161</v>
      </c>
      <c r="I14" s="74"/>
      <c r="J14" s="74"/>
      <c r="K14" s="65"/>
      <c r="L14" s="65"/>
      <c r="M14" s="65"/>
      <c r="N14" s="66"/>
      <c r="O14" s="66"/>
      <c r="P14" s="66"/>
    </row>
    <row r="15" spans="1:18" x14ac:dyDescent="0.2">
      <c r="A15" s="65" t="s">
        <v>88</v>
      </c>
      <c r="B15" s="65"/>
      <c r="C15" s="74">
        <f>AVERAGE(C6:C9,C11)</f>
        <v>202.32818101436996</v>
      </c>
      <c r="D15" s="32">
        <f t="shared" ref="D15:H15" si="3">AVERAGE(D6:D9,D11)</f>
        <v>1.8504295692108008</v>
      </c>
      <c r="E15" s="74">
        <f t="shared" si="3"/>
        <v>123.73274540173432</v>
      </c>
      <c r="F15" s="74">
        <f t="shared" si="3"/>
        <v>7.4874541990838424</v>
      </c>
      <c r="G15" s="74">
        <f t="shared" si="3"/>
        <v>154.53</v>
      </c>
      <c r="H15" s="74">
        <f t="shared" si="3"/>
        <v>9.36</v>
      </c>
      <c r="I15" s="74"/>
      <c r="J15" s="74"/>
      <c r="K15" s="19"/>
      <c r="L15" s="18"/>
      <c r="M15" s="74">
        <f>AVERAGE(M6:M9,M11)</f>
        <v>3.9166232514605008</v>
      </c>
      <c r="N15" s="73">
        <f>AVERAGE(N6:N9,N11)</f>
        <v>6.6180555104515095E-3</v>
      </c>
      <c r="O15" s="74">
        <f>AVERAGE(O6:O9,O11)</f>
        <v>15.535304060496946</v>
      </c>
      <c r="P15" s="66"/>
    </row>
    <row r="16" spans="1:18" x14ac:dyDescent="0.2">
      <c r="A16" s="65" t="s">
        <v>89</v>
      </c>
      <c r="B16" s="65"/>
      <c r="C16" s="74">
        <f t="shared" ref="C16:H16" si="4">STDEV(C6:C9,C11)</f>
        <v>47.745537843827535</v>
      </c>
      <c r="D16" s="78">
        <f t="shared" si="4"/>
        <v>0.98680439367109207</v>
      </c>
      <c r="E16" s="74">
        <f t="shared" si="4"/>
        <v>28.027011671338965</v>
      </c>
      <c r="F16" s="32">
        <f t="shared" si="4"/>
        <v>1.5129042934047192</v>
      </c>
      <c r="G16" s="74">
        <f t="shared" si="4"/>
        <v>34.864458263394859</v>
      </c>
      <c r="H16" s="32">
        <f t="shared" si="4"/>
        <v>1.8834940934337971</v>
      </c>
      <c r="I16" s="32"/>
      <c r="J16" s="32"/>
      <c r="K16" s="19"/>
      <c r="L16" s="65"/>
      <c r="M16" s="74">
        <f>STDEV(M6:M9,M11)</f>
        <v>0.98557578595253692</v>
      </c>
      <c r="N16" s="73">
        <f>STDEV(N6:N9,N11)</f>
        <v>4.3342098874130505E-3</v>
      </c>
      <c r="O16" s="74">
        <f>STDEV(O6:O9,O11)</f>
        <v>4.7999436116442755</v>
      </c>
      <c r="P16" s="66"/>
    </row>
    <row r="17" spans="1:19" x14ac:dyDescent="0.2">
      <c r="A17" s="66"/>
      <c r="B17" s="64"/>
      <c r="C17" s="65"/>
      <c r="D17" s="65"/>
      <c r="E17" s="65"/>
      <c r="F17" s="65"/>
      <c r="G17" s="65"/>
      <c r="H17" s="65"/>
      <c r="I17" s="74"/>
      <c r="J17" s="74"/>
      <c r="K17" s="19"/>
      <c r="L17" s="65"/>
      <c r="M17" s="65"/>
      <c r="N17" s="66"/>
      <c r="O17" s="66"/>
      <c r="P17" s="66"/>
      <c r="R17" s="94"/>
      <c r="S17" s="94"/>
    </row>
    <row r="18" spans="1:19" x14ac:dyDescent="0.2">
      <c r="A18" s="64" t="s">
        <v>92</v>
      </c>
      <c r="B18" s="64"/>
      <c r="C18" s="65">
        <v>216</v>
      </c>
      <c r="D18" s="65">
        <v>207</v>
      </c>
      <c r="E18" s="65"/>
      <c r="F18" s="65"/>
      <c r="G18" s="65"/>
      <c r="H18" s="65"/>
      <c r="I18" s="65"/>
      <c r="J18" s="65"/>
      <c r="K18" s="65"/>
      <c r="L18" s="65"/>
      <c r="M18" s="65"/>
      <c r="N18" s="66"/>
      <c r="O18" s="66"/>
      <c r="P18" s="66"/>
    </row>
    <row r="19" spans="1:19" x14ac:dyDescent="0.2">
      <c r="A19" s="65"/>
      <c r="B19" s="65"/>
      <c r="C19" s="65"/>
      <c r="D19" s="65"/>
      <c r="E19" s="65"/>
      <c r="F19" s="65"/>
      <c r="G19" s="65"/>
      <c r="H19" s="65"/>
      <c r="I19" s="65"/>
      <c r="J19" s="65"/>
      <c r="K19" s="65"/>
      <c r="L19" s="65"/>
      <c r="M19" s="65"/>
      <c r="N19" s="66"/>
      <c r="O19" s="66"/>
      <c r="P19" s="66"/>
    </row>
    <row r="20" spans="1:19" ht="34" x14ac:dyDescent="0.2">
      <c r="A20" s="77" t="s">
        <v>93</v>
      </c>
      <c r="B20" s="74"/>
      <c r="C20" s="11">
        <f>C15/C18</f>
        <v>0.93670454173319428</v>
      </c>
      <c r="D20" s="11">
        <f>D15/D18</f>
        <v>8.9392732812115985E-3</v>
      </c>
      <c r="E20" s="11">
        <f>E15/C18</f>
        <v>0.57283678426728857</v>
      </c>
      <c r="F20" s="11">
        <f>F15/D18</f>
        <v>3.6171276324076532E-2</v>
      </c>
      <c r="G20" s="11">
        <f>G15/C18</f>
        <v>0.7154166666666667</v>
      </c>
      <c r="H20" s="11">
        <f>H15/D18</f>
        <v>4.521739130434782E-2</v>
      </c>
      <c r="I20" s="65"/>
      <c r="J20" s="65"/>
      <c r="K20" s="65"/>
      <c r="L20" s="65"/>
      <c r="M20" s="65"/>
      <c r="N20" s="66"/>
      <c r="O20" s="66"/>
      <c r="P20" s="66"/>
    </row>
    <row r="21" spans="1:19" x14ac:dyDescent="0.2">
      <c r="A21" s="66"/>
      <c r="B21" s="66"/>
      <c r="C21" s="66"/>
      <c r="D21" s="66"/>
      <c r="E21" s="66"/>
      <c r="F21" s="66"/>
      <c r="G21" s="66"/>
      <c r="H21" s="66"/>
      <c r="I21" s="66"/>
      <c r="J21" s="66"/>
      <c r="K21" s="66"/>
      <c r="L21" s="66"/>
      <c r="M21" s="66"/>
      <c r="N21" s="66"/>
      <c r="O21" s="66"/>
      <c r="P21" s="66"/>
      <c r="Q21" s="60"/>
      <c r="R21" s="61"/>
      <c r="S21" s="62"/>
    </row>
    <row r="22" spans="1:19" x14ac:dyDescent="0.2">
      <c r="A22" s="64" t="s">
        <v>90</v>
      </c>
      <c r="B22" s="66"/>
      <c r="C22" s="66"/>
      <c r="D22" s="66"/>
      <c r="E22" s="66"/>
      <c r="F22" s="66"/>
      <c r="G22" s="66"/>
      <c r="H22" s="66"/>
      <c r="I22" s="66"/>
      <c r="J22" s="66"/>
      <c r="K22" s="66"/>
      <c r="L22" s="66"/>
      <c r="M22" s="66"/>
      <c r="N22" s="66"/>
      <c r="O22" s="66"/>
      <c r="P22" s="66"/>
      <c r="Q22" s="60"/>
      <c r="R22" s="61"/>
      <c r="S22" s="62"/>
    </row>
    <row r="23" spans="1:19" x14ac:dyDescent="0.2">
      <c r="A23" s="64" t="s">
        <v>91</v>
      </c>
      <c r="B23" s="66"/>
      <c r="C23" s="66"/>
      <c r="D23" s="66"/>
      <c r="E23" s="66"/>
      <c r="F23" s="66"/>
      <c r="G23" s="66"/>
      <c r="H23" s="66"/>
      <c r="I23" s="66"/>
      <c r="J23" s="66"/>
      <c r="K23" s="66"/>
      <c r="L23" s="66"/>
      <c r="M23" s="66"/>
      <c r="N23" s="66"/>
      <c r="O23" s="66"/>
      <c r="P23" s="66"/>
      <c r="Q23" s="60"/>
      <c r="R23" s="61"/>
      <c r="S23" s="62"/>
    </row>
    <row r="24" spans="1:19" x14ac:dyDescent="0.2">
      <c r="A24" s="66" t="s">
        <v>596</v>
      </c>
      <c r="B24" s="66"/>
      <c r="C24" s="66"/>
      <c r="D24" s="66"/>
      <c r="E24" s="66"/>
      <c r="F24" s="66"/>
      <c r="G24" s="66"/>
      <c r="H24" s="66"/>
      <c r="I24" s="66"/>
      <c r="J24" s="66"/>
      <c r="K24" s="66"/>
      <c r="L24" s="66"/>
      <c r="M24" s="66"/>
      <c r="N24" s="66"/>
      <c r="O24" s="66"/>
      <c r="P24" s="66"/>
      <c r="Q24" s="60"/>
      <c r="R24" s="61"/>
      <c r="S24" s="62"/>
    </row>
    <row r="25" spans="1:19" x14ac:dyDescent="0.2">
      <c r="Q25" s="60"/>
      <c r="R25" s="61"/>
      <c r="S25" s="62"/>
    </row>
    <row r="26" spans="1:19" x14ac:dyDescent="0.2">
      <c r="Q26" s="60"/>
      <c r="R26" s="61"/>
      <c r="S26" s="62"/>
    </row>
    <row r="27" spans="1:19" x14ac:dyDescent="0.2">
      <c r="Q27" s="60"/>
      <c r="R27" s="61"/>
      <c r="S27" s="62"/>
    </row>
    <row r="28" spans="1:19" x14ac:dyDescent="0.2">
      <c r="Q28" s="60"/>
      <c r="R28" s="61"/>
      <c r="S28" s="62"/>
    </row>
    <row r="29" spans="1:19" x14ac:dyDescent="0.2">
      <c r="Q29" s="60"/>
      <c r="R29" s="61"/>
      <c r="S29" s="62"/>
    </row>
    <row r="30" spans="1:19" x14ac:dyDescent="0.2">
      <c r="Q30" s="60"/>
      <c r="R30" s="61"/>
      <c r="S30" s="62"/>
    </row>
    <row r="31" spans="1:19" x14ac:dyDescent="0.2">
      <c r="Q31" s="60"/>
      <c r="R31" s="61"/>
      <c r="S31" s="62"/>
    </row>
    <row r="32" spans="1:19" x14ac:dyDescent="0.2">
      <c r="Q32" s="60"/>
      <c r="R32" s="61"/>
      <c r="S32" s="62"/>
    </row>
    <row r="33" spans="17:19" x14ac:dyDescent="0.2">
      <c r="Q33" s="60"/>
      <c r="R33" s="61"/>
      <c r="S33" s="62"/>
    </row>
    <row r="34" spans="17:19" x14ac:dyDescent="0.2">
      <c r="Q34" s="60"/>
      <c r="R34" s="61"/>
      <c r="S34" s="62"/>
    </row>
    <row r="35" spans="17:19" x14ac:dyDescent="0.2">
      <c r="Q35" s="60"/>
      <c r="R35" s="61"/>
      <c r="S35" s="62"/>
    </row>
    <row r="36" spans="17:19" x14ac:dyDescent="0.2">
      <c r="Q36" s="60"/>
      <c r="R36" s="61"/>
      <c r="S36" s="62"/>
    </row>
  </sheetData>
  <mergeCells count="9">
    <mergeCell ref="E3:F3"/>
    <mergeCell ref="G3:H3"/>
    <mergeCell ref="I3:J3"/>
    <mergeCell ref="B4:D4"/>
    <mergeCell ref="E4:F4"/>
    <mergeCell ref="G4:H4"/>
    <mergeCell ref="I4:J4"/>
    <mergeCell ref="R17:S17"/>
    <mergeCell ref="K4:L4"/>
  </mergeCells>
  <phoneticPr fontId="16" type="noConversion"/>
  <pageMargins left="0.75" right="0.75" top="1" bottom="1" header="0.5" footer="0.5"/>
  <pageSetup scale="37" orientation="portrait" horizontalDpi="4294967292" verticalDpi="4294967292"/>
  <rowBreaks count="1" manualBreakCount="1">
    <brk id="37" max="16383" man="1"/>
  </rowBreaks>
  <colBreaks count="1" manualBreakCount="1">
    <brk id="16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D172"/>
  <sheetViews>
    <sheetView workbookViewId="0">
      <pane ySplit="4" topLeftCell="A5" activePane="bottomLeft" state="frozen"/>
      <selection pane="bottomLeft" sqref="A1:A2"/>
    </sheetView>
  </sheetViews>
  <sheetFormatPr baseColWidth="10" defaultRowHeight="16" x14ac:dyDescent="0.2"/>
  <cols>
    <col min="1" max="1" width="21.5" style="24" customWidth="1"/>
    <col min="2" max="3" width="15.1640625" style="12" customWidth="1"/>
    <col min="4" max="16384" width="10.83203125" style="24"/>
  </cols>
  <sheetData>
    <row r="1" spans="1:30" s="89" customFormat="1" x14ac:dyDescent="0.2">
      <c r="A1" s="116" t="s">
        <v>697</v>
      </c>
      <c r="B1" s="12"/>
      <c r="C1" s="12"/>
    </row>
    <row r="2" spans="1:30" s="89" customFormat="1" x14ac:dyDescent="0.2">
      <c r="A2" s="117" t="s">
        <v>698</v>
      </c>
      <c r="B2" s="12"/>
      <c r="C2" s="12"/>
    </row>
    <row r="3" spans="1:30" x14ac:dyDescent="0.2">
      <c r="A3" s="1" t="s">
        <v>619</v>
      </c>
      <c r="D3" s="99" t="s">
        <v>101</v>
      </c>
      <c r="E3" s="99"/>
      <c r="F3" s="99"/>
      <c r="G3" s="99"/>
      <c r="H3" s="99"/>
      <c r="I3" s="99"/>
      <c r="J3" s="99"/>
      <c r="K3" s="99"/>
      <c r="L3" s="99"/>
      <c r="M3" s="99"/>
      <c r="N3" s="99"/>
      <c r="O3" s="99" t="s">
        <v>102</v>
      </c>
      <c r="P3" s="99"/>
      <c r="Q3" s="99"/>
      <c r="R3" s="99"/>
      <c r="S3" s="99"/>
      <c r="T3" s="99"/>
      <c r="U3" s="99"/>
      <c r="V3" s="99"/>
      <c r="W3" s="99"/>
      <c r="X3" s="99"/>
      <c r="Y3" s="99"/>
    </row>
    <row r="4" spans="1:30" ht="34" x14ac:dyDescent="0.2">
      <c r="B4" s="108" t="s">
        <v>103</v>
      </c>
      <c r="C4" s="118" t="s">
        <v>104</v>
      </c>
      <c r="D4" s="24" t="s">
        <v>105</v>
      </c>
      <c r="E4" s="24" t="s">
        <v>106</v>
      </c>
      <c r="F4" s="24" t="s">
        <v>107</v>
      </c>
      <c r="G4" s="24" t="s">
        <v>108</v>
      </c>
      <c r="H4" s="24" t="s">
        <v>109</v>
      </c>
      <c r="I4" s="24" t="s">
        <v>110</v>
      </c>
      <c r="J4" s="24" t="s">
        <v>111</v>
      </c>
      <c r="K4" s="24" t="s">
        <v>112</v>
      </c>
      <c r="L4" s="24" t="s">
        <v>113</v>
      </c>
      <c r="M4" s="24" t="s">
        <v>114</v>
      </c>
      <c r="N4" s="24" t="s">
        <v>115</v>
      </c>
      <c r="O4" s="24" t="s">
        <v>116</v>
      </c>
      <c r="P4" s="24" t="s">
        <v>117</v>
      </c>
      <c r="Q4" s="24" t="s">
        <v>118</v>
      </c>
      <c r="R4" s="24" t="s">
        <v>119</v>
      </c>
      <c r="S4" s="24" t="s">
        <v>120</v>
      </c>
      <c r="T4" s="24" t="s">
        <v>121</v>
      </c>
      <c r="U4" s="24" t="s">
        <v>122</v>
      </c>
      <c r="V4" s="24" t="s">
        <v>123</v>
      </c>
      <c r="W4" s="24" t="s">
        <v>124</v>
      </c>
      <c r="X4" s="24" t="s">
        <v>125</v>
      </c>
      <c r="Y4" s="24" t="s">
        <v>115</v>
      </c>
      <c r="Z4" s="24" t="s">
        <v>126</v>
      </c>
      <c r="AA4" s="24" t="s">
        <v>127</v>
      </c>
      <c r="AB4" s="24" t="s">
        <v>128</v>
      </c>
      <c r="AC4" s="24" t="s">
        <v>129</v>
      </c>
      <c r="AD4" s="24" t="s">
        <v>130</v>
      </c>
    </row>
    <row r="5" spans="1:30" x14ac:dyDescent="0.2">
      <c r="A5" s="24" t="s">
        <v>131</v>
      </c>
      <c r="B5" s="12">
        <v>0</v>
      </c>
      <c r="C5" s="12">
        <v>-1346.2367388121131</v>
      </c>
      <c r="D5" s="25">
        <v>3.85E-2</v>
      </c>
      <c r="E5" s="25">
        <v>21.96</v>
      </c>
      <c r="F5" s="25">
        <v>8.76</v>
      </c>
      <c r="G5" s="25">
        <v>0.61970000000000003</v>
      </c>
      <c r="H5" s="25">
        <v>0</v>
      </c>
      <c r="I5" s="25">
        <v>7.4399999999999994E-2</v>
      </c>
      <c r="J5" s="25">
        <v>38</v>
      </c>
      <c r="K5" s="25">
        <v>1.5E-3</v>
      </c>
      <c r="L5" s="25">
        <v>25.3</v>
      </c>
      <c r="M5" s="25">
        <v>4.2300000000000004</v>
      </c>
      <c r="N5" s="25">
        <v>98.984200000000001</v>
      </c>
      <c r="O5" s="24">
        <v>2.3999999999999998E-3</v>
      </c>
      <c r="P5" s="24">
        <v>2.0390000000000001</v>
      </c>
      <c r="Q5" s="24">
        <v>0.73899999999999999</v>
      </c>
      <c r="R5" s="24">
        <v>4.1300000000000003E-2</v>
      </c>
      <c r="S5" s="24">
        <v>0</v>
      </c>
      <c r="T5" s="24">
        <v>4.4000000000000003E-3</v>
      </c>
      <c r="U5" s="24">
        <v>2.9929999999999999</v>
      </c>
      <c r="V5" s="24">
        <v>1E-4</v>
      </c>
      <c r="W5" s="24">
        <v>1.667</v>
      </c>
      <c r="X5" s="24">
        <v>0.497</v>
      </c>
      <c r="Y5" s="24">
        <v>7.9832999999999998</v>
      </c>
      <c r="Z5" s="25">
        <f>W5/(W5+X5+R5+Q5)</f>
        <v>0.56617871820127019</v>
      </c>
      <c r="AA5" s="25">
        <f>X5/(X5+W5+R5+Q5)</f>
        <v>0.16880073362089459</v>
      </c>
      <c r="AB5" s="25">
        <f>Q5/(Q5+R5+W5+X5)</f>
        <v>0.25099344496145093</v>
      </c>
      <c r="AC5" s="25">
        <f>R5/(Q5+R5+W5+X5)</f>
        <v>1.4027103216384201E-2</v>
      </c>
      <c r="AD5" s="25">
        <f>W5/(W5+X5)</f>
        <v>0.77033271719038809</v>
      </c>
    </row>
    <row r="6" spans="1:30" x14ac:dyDescent="0.2">
      <c r="A6" s="24" t="s">
        <v>132</v>
      </c>
      <c r="B6" s="12">
        <v>144.10065926289096</v>
      </c>
      <c r="C6" s="12">
        <v>-1202.1360795492221</v>
      </c>
      <c r="D6" s="25">
        <v>2.29E-2</v>
      </c>
      <c r="E6" s="25">
        <v>22.07</v>
      </c>
      <c r="F6" s="25">
        <v>7.48</v>
      </c>
      <c r="G6" s="25">
        <v>0.52270000000000005</v>
      </c>
      <c r="H6" s="25">
        <v>1.9400000000000001E-2</v>
      </c>
      <c r="I6" s="25">
        <v>3.0700000000000002E-2</v>
      </c>
      <c r="J6" s="25">
        <v>37.75</v>
      </c>
      <c r="K6" s="25">
        <v>0</v>
      </c>
      <c r="L6" s="25">
        <v>26.38</v>
      </c>
      <c r="M6" s="25">
        <v>4.58</v>
      </c>
      <c r="N6" s="25">
        <v>98.855800000000002</v>
      </c>
      <c r="O6" s="24">
        <v>1.4E-3</v>
      </c>
      <c r="P6" s="24">
        <v>2.0539999999999998</v>
      </c>
      <c r="Q6" s="24">
        <v>0.63300000000000001</v>
      </c>
      <c r="R6" s="24">
        <v>3.5000000000000003E-2</v>
      </c>
      <c r="S6" s="24">
        <v>3.0000000000000001E-3</v>
      </c>
      <c r="T6" s="24">
        <v>1.8E-3</v>
      </c>
      <c r="U6" s="24">
        <v>2.9809999999999999</v>
      </c>
      <c r="V6" s="24">
        <v>0</v>
      </c>
      <c r="W6" s="24">
        <v>1.742</v>
      </c>
      <c r="X6" s="24">
        <v>0.53900000000000003</v>
      </c>
      <c r="Y6" s="24">
        <v>7.9903000000000004</v>
      </c>
      <c r="Z6" s="25">
        <f t="shared" ref="Z6:Z73" si="0">W6/(W6+X6+R6+Q6)</f>
        <v>0.59070871481858256</v>
      </c>
      <c r="AA6" s="25">
        <f t="shared" ref="AA6:AA73" si="1">X6/(X6+W6+R6+Q6)</f>
        <v>0.18277382163445235</v>
      </c>
      <c r="AB6" s="25">
        <f t="shared" ref="AB6:AB73" si="2">Q6/(Q6+R6+W6+X6)</f>
        <v>0.21464903357070192</v>
      </c>
      <c r="AC6" s="25">
        <f t="shared" ref="AC6:AC73" si="3">R6/(Q6+R6+W6+X6)</f>
        <v>1.186842997626314E-2</v>
      </c>
      <c r="AD6" s="25">
        <f t="shared" ref="AD6:AD73" si="4">W6/(W6+X6)</f>
        <v>0.76370013152126259</v>
      </c>
    </row>
    <row r="7" spans="1:30" x14ac:dyDescent="0.2">
      <c r="A7" s="24" t="s">
        <v>133</v>
      </c>
      <c r="B7" s="12">
        <v>315.94361082041581</v>
      </c>
      <c r="C7" s="12">
        <v>-1030.2931279916972</v>
      </c>
      <c r="D7" s="25">
        <v>6.8500000000000005E-2</v>
      </c>
      <c r="E7" s="25">
        <v>21.92</v>
      </c>
      <c r="F7" s="25">
        <v>7.68</v>
      </c>
      <c r="G7" s="25">
        <v>0.3624</v>
      </c>
      <c r="H7" s="25">
        <v>0</v>
      </c>
      <c r="I7" s="25">
        <v>9.06E-2</v>
      </c>
      <c r="J7" s="25">
        <v>37.54</v>
      </c>
      <c r="K7" s="25">
        <v>0</v>
      </c>
      <c r="L7" s="25">
        <v>26.6</v>
      </c>
      <c r="M7" s="25">
        <v>4.3899999999999997</v>
      </c>
      <c r="N7" s="25">
        <v>98.651600000000002</v>
      </c>
      <c r="O7" s="24">
        <v>4.3E-3</v>
      </c>
      <c r="P7" s="24">
        <v>2.048</v>
      </c>
      <c r="Q7" s="24">
        <v>0.65200000000000002</v>
      </c>
      <c r="R7" s="24">
        <v>2.4299999999999999E-2</v>
      </c>
      <c r="S7" s="24">
        <v>0</v>
      </c>
      <c r="T7" s="24">
        <v>5.4000000000000003E-3</v>
      </c>
      <c r="U7" s="24">
        <v>2.976</v>
      </c>
      <c r="V7" s="24">
        <v>0</v>
      </c>
      <c r="W7" s="24">
        <v>1.7629999999999999</v>
      </c>
      <c r="X7" s="24">
        <v>0.51800000000000002</v>
      </c>
      <c r="Y7" s="24">
        <v>7.9911000000000003</v>
      </c>
      <c r="Z7" s="25">
        <f t="shared" si="0"/>
        <v>0.59615189530991097</v>
      </c>
      <c r="AA7" s="25">
        <f t="shared" si="1"/>
        <v>0.17515977411828357</v>
      </c>
      <c r="AB7" s="25">
        <f t="shared" si="2"/>
        <v>0.2204713759172218</v>
      </c>
      <c r="AC7" s="25">
        <f t="shared" si="3"/>
        <v>8.2169546545835716E-3</v>
      </c>
      <c r="AD7" s="25">
        <f t="shared" si="4"/>
        <v>0.77290661990355114</v>
      </c>
    </row>
    <row r="8" spans="1:30" x14ac:dyDescent="0.2">
      <c r="A8" s="24" t="s">
        <v>134</v>
      </c>
      <c r="B8" s="12">
        <v>439.59230672942545</v>
      </c>
      <c r="C8" s="12">
        <v>-906.64443208268767</v>
      </c>
      <c r="D8" s="25">
        <v>5.0299999999999997E-2</v>
      </c>
      <c r="E8" s="25">
        <v>21.81</v>
      </c>
      <c r="F8" s="25">
        <v>8.2200000000000006</v>
      </c>
      <c r="G8" s="25">
        <v>0.44340000000000002</v>
      </c>
      <c r="H8" s="25">
        <v>3.1800000000000002E-2</v>
      </c>
      <c r="I8" s="25">
        <v>0.1163</v>
      </c>
      <c r="J8" s="25">
        <v>37.29</v>
      </c>
      <c r="K8" s="25">
        <v>0</v>
      </c>
      <c r="L8" s="25">
        <v>26.56</v>
      </c>
      <c r="M8" s="25">
        <v>4.2</v>
      </c>
      <c r="N8" s="25">
        <v>98.721800000000002</v>
      </c>
      <c r="O8" s="24">
        <v>3.2000000000000002E-3</v>
      </c>
      <c r="P8" s="24">
        <v>2.0419999999999998</v>
      </c>
      <c r="Q8" s="24">
        <v>0.7</v>
      </c>
      <c r="R8" s="24">
        <v>2.98E-2</v>
      </c>
      <c r="S8" s="24">
        <v>4.8999999999999998E-3</v>
      </c>
      <c r="T8" s="24">
        <v>6.8999999999999999E-3</v>
      </c>
      <c r="U8" s="24">
        <v>2.9620000000000002</v>
      </c>
      <c r="V8" s="24">
        <v>0</v>
      </c>
      <c r="W8" s="24">
        <v>1.7649999999999999</v>
      </c>
      <c r="X8" s="24">
        <v>0.497</v>
      </c>
      <c r="Y8" s="24">
        <v>8.0107999999999997</v>
      </c>
      <c r="Z8" s="25">
        <f t="shared" si="0"/>
        <v>0.58994585199545424</v>
      </c>
      <c r="AA8" s="25">
        <f t="shared" si="1"/>
        <v>0.16612072999532057</v>
      </c>
      <c r="AB8" s="25">
        <f t="shared" si="2"/>
        <v>0.23397285914833882</v>
      </c>
      <c r="AC8" s="25">
        <f t="shared" si="3"/>
        <v>9.9605588608864242E-3</v>
      </c>
      <c r="AD8" s="25">
        <f t="shared" si="4"/>
        <v>0.78028293545534921</v>
      </c>
    </row>
    <row r="9" spans="1:30" x14ac:dyDescent="0.2">
      <c r="A9" s="24" t="s">
        <v>135</v>
      </c>
      <c r="B9" s="12">
        <v>579.83851879948531</v>
      </c>
      <c r="C9" s="12">
        <v>-766.3982200126278</v>
      </c>
      <c r="D9" s="25">
        <v>4.1700000000000001E-2</v>
      </c>
      <c r="E9" s="25">
        <v>21.48</v>
      </c>
      <c r="F9" s="25">
        <v>8.5399999999999991</v>
      </c>
      <c r="G9" s="25">
        <v>0.34699999999999998</v>
      </c>
      <c r="H9" s="25">
        <v>0</v>
      </c>
      <c r="I9" s="25">
        <v>0.1459</v>
      </c>
      <c r="J9" s="25">
        <v>36.81</v>
      </c>
      <c r="K9" s="25">
        <v>0</v>
      </c>
      <c r="L9" s="25">
        <v>26.95</v>
      </c>
      <c r="M9" s="25">
        <v>3.56</v>
      </c>
      <c r="N9" s="25">
        <v>97.874700000000004</v>
      </c>
      <c r="O9" s="24">
        <v>2.7000000000000001E-3</v>
      </c>
      <c r="P9" s="24">
        <v>2.0369999999999999</v>
      </c>
      <c r="Q9" s="24">
        <v>0.73599999999999999</v>
      </c>
      <c r="R9" s="24">
        <v>2.3699999999999999E-2</v>
      </c>
      <c r="S9" s="24">
        <v>0</v>
      </c>
      <c r="T9" s="24">
        <v>8.8000000000000005E-3</v>
      </c>
      <c r="U9" s="24">
        <v>2.9609999999999999</v>
      </c>
      <c r="V9" s="24">
        <v>0</v>
      </c>
      <c r="W9" s="24">
        <v>1.8129999999999999</v>
      </c>
      <c r="X9" s="24">
        <v>0.42599999999999999</v>
      </c>
      <c r="Y9" s="24">
        <v>8.0082000000000004</v>
      </c>
      <c r="Z9" s="25">
        <f t="shared" si="0"/>
        <v>0.60459532464067767</v>
      </c>
      <c r="AA9" s="25">
        <f t="shared" si="1"/>
        <v>0.1420615600093374</v>
      </c>
      <c r="AB9" s="25">
        <f t="shared" si="2"/>
        <v>0.24543969053256406</v>
      </c>
      <c r="AC9" s="25">
        <f t="shared" si="3"/>
        <v>7.9034248174208819E-3</v>
      </c>
      <c r="AD9" s="25">
        <f t="shared" si="4"/>
        <v>0.80973648950424304</v>
      </c>
    </row>
    <row r="10" spans="1:30" x14ac:dyDescent="0.2">
      <c r="A10" s="24" t="s">
        <v>136</v>
      </c>
      <c r="B10" s="12">
        <v>724.30996926635203</v>
      </c>
      <c r="C10" s="12">
        <v>-621.92676954576109</v>
      </c>
      <c r="D10" s="25">
        <v>7.3599999999999999E-2</v>
      </c>
      <c r="E10" s="25">
        <v>21.5</v>
      </c>
      <c r="F10" s="25">
        <v>8.56</v>
      </c>
      <c r="G10" s="25">
        <v>0.77100000000000002</v>
      </c>
      <c r="H10" s="25">
        <v>0</v>
      </c>
      <c r="I10" s="25">
        <v>0.1048</v>
      </c>
      <c r="J10" s="25">
        <v>36.54</v>
      </c>
      <c r="K10" s="25">
        <v>0</v>
      </c>
      <c r="L10" s="25">
        <v>26.74</v>
      </c>
      <c r="M10" s="25">
        <v>3.32</v>
      </c>
      <c r="N10" s="25">
        <v>97.609499999999997</v>
      </c>
      <c r="O10" s="24">
        <v>4.7000000000000002E-3</v>
      </c>
      <c r="P10" s="24">
        <v>2.048</v>
      </c>
      <c r="Q10" s="24">
        <v>0.74099999999999999</v>
      </c>
      <c r="R10" s="24">
        <v>5.28E-2</v>
      </c>
      <c r="S10" s="24">
        <v>0</v>
      </c>
      <c r="T10" s="24">
        <v>6.4000000000000003E-3</v>
      </c>
      <c r="U10" s="24">
        <v>2.9529999999999998</v>
      </c>
      <c r="V10" s="24">
        <v>0</v>
      </c>
      <c r="W10" s="24">
        <v>1.8069999999999999</v>
      </c>
      <c r="X10" s="24">
        <v>0.4</v>
      </c>
      <c r="Y10" s="24">
        <v>8.0129000000000001</v>
      </c>
      <c r="Z10" s="25">
        <f t="shared" si="0"/>
        <v>0.60217275393228475</v>
      </c>
      <c r="AA10" s="25">
        <f t="shared" si="1"/>
        <v>0.13329778725673155</v>
      </c>
      <c r="AB10" s="25">
        <f t="shared" si="2"/>
        <v>0.24693415089309517</v>
      </c>
      <c r="AC10" s="25">
        <f t="shared" si="3"/>
        <v>1.7595307917888565E-2</v>
      </c>
      <c r="AD10" s="25">
        <f t="shared" si="4"/>
        <v>0.81875849569551429</v>
      </c>
    </row>
    <row r="11" spans="1:30" x14ac:dyDescent="0.2">
      <c r="A11" s="24" t="s">
        <v>137</v>
      </c>
      <c r="B11" s="12">
        <v>903.73683459036556</v>
      </c>
      <c r="C11" s="12">
        <v>-442.49990422174756</v>
      </c>
      <c r="D11" s="25">
        <v>4.87E-2</v>
      </c>
      <c r="E11" s="25">
        <v>21.58</v>
      </c>
      <c r="F11" s="25">
        <v>8.9</v>
      </c>
      <c r="G11" s="25">
        <v>0.79530000000000001</v>
      </c>
      <c r="H11" s="25">
        <v>0</v>
      </c>
      <c r="I11" s="25">
        <v>6.7400000000000002E-2</v>
      </c>
      <c r="J11" s="25">
        <v>36.82</v>
      </c>
      <c r="K11" s="25">
        <v>0</v>
      </c>
      <c r="L11" s="25">
        <v>25.48</v>
      </c>
      <c r="M11" s="25">
        <v>4.04</v>
      </c>
      <c r="N11" s="25">
        <v>97.731399999999994</v>
      </c>
      <c r="O11" s="24">
        <v>3.0999999999999999E-3</v>
      </c>
      <c r="P11" s="24">
        <v>2.0419999999999998</v>
      </c>
      <c r="Q11" s="24">
        <v>0.76500000000000001</v>
      </c>
      <c r="R11" s="24">
        <v>5.4100000000000002E-2</v>
      </c>
      <c r="S11" s="24">
        <v>0</v>
      </c>
      <c r="T11" s="24">
        <v>4.1000000000000003E-3</v>
      </c>
      <c r="U11" s="24">
        <v>2.956</v>
      </c>
      <c r="V11" s="24">
        <v>0</v>
      </c>
      <c r="W11" s="24">
        <v>1.71</v>
      </c>
      <c r="X11" s="24">
        <v>0.48399999999999999</v>
      </c>
      <c r="Y11" s="24">
        <v>8.0183</v>
      </c>
      <c r="Z11" s="25">
        <f t="shared" si="0"/>
        <v>0.56752182137997409</v>
      </c>
      <c r="AA11" s="25">
        <f t="shared" si="1"/>
        <v>0.16063190733795757</v>
      </c>
      <c r="AB11" s="25">
        <f t="shared" si="2"/>
        <v>0.25389134114367262</v>
      </c>
      <c r="AC11" s="25">
        <f t="shared" si="3"/>
        <v>1.7954930138395671E-2</v>
      </c>
      <c r="AD11" s="25">
        <f t="shared" si="4"/>
        <v>0.77939835916134914</v>
      </c>
    </row>
    <row r="12" spans="1:30" x14ac:dyDescent="0.2">
      <c r="A12" s="24" t="s">
        <v>138</v>
      </c>
      <c r="B12" s="12">
        <v>1001.4097581669605</v>
      </c>
      <c r="C12" s="12">
        <v>-344.82698064515262</v>
      </c>
      <c r="D12" s="25">
        <v>9.5200000000000007E-2</v>
      </c>
      <c r="E12" s="25">
        <v>21.53</v>
      </c>
      <c r="F12" s="25">
        <v>8.89</v>
      </c>
      <c r="G12" s="25">
        <v>0.53639999999999999</v>
      </c>
      <c r="H12" s="25">
        <v>5.8200000000000002E-2</v>
      </c>
      <c r="I12" s="25">
        <v>6.6900000000000001E-2</v>
      </c>
      <c r="J12" s="25">
        <v>36.85</v>
      </c>
      <c r="K12" s="25">
        <v>0</v>
      </c>
      <c r="L12" s="25">
        <v>25.25</v>
      </c>
      <c r="M12" s="25">
        <v>4.3899999999999997</v>
      </c>
      <c r="N12" s="25">
        <v>97.666799999999995</v>
      </c>
      <c r="O12" s="24">
        <v>6.0000000000000001E-3</v>
      </c>
      <c r="P12" s="24">
        <v>2.0339999999999998</v>
      </c>
      <c r="Q12" s="24">
        <v>0.76400000000000001</v>
      </c>
      <c r="R12" s="24">
        <v>3.6400000000000002E-2</v>
      </c>
      <c r="S12" s="24">
        <v>8.9999999999999993E-3</v>
      </c>
      <c r="T12" s="24">
        <v>4.0000000000000001E-3</v>
      </c>
      <c r="U12" s="24">
        <v>2.9550000000000001</v>
      </c>
      <c r="V12" s="24">
        <v>0</v>
      </c>
      <c r="W12" s="24">
        <v>1.6930000000000001</v>
      </c>
      <c r="X12" s="24">
        <v>0.52500000000000002</v>
      </c>
      <c r="Y12" s="24">
        <v>8.0264000000000006</v>
      </c>
      <c r="Z12" s="25">
        <f t="shared" si="0"/>
        <v>0.56089318844420888</v>
      </c>
      <c r="AA12" s="25">
        <f t="shared" si="1"/>
        <v>0.1739332096474954</v>
      </c>
      <c r="AB12" s="25">
        <f t="shared" si="2"/>
        <v>0.25311423270606942</v>
      </c>
      <c r="AC12" s="25">
        <f t="shared" si="3"/>
        <v>1.2059369202226345E-2</v>
      </c>
      <c r="AD12" s="25">
        <f t="shared" si="4"/>
        <v>0.76330027051397664</v>
      </c>
    </row>
    <row r="13" spans="1:30" x14ac:dyDescent="0.2">
      <c r="A13" s="24" t="s">
        <v>139</v>
      </c>
      <c r="B13" s="12">
        <v>1195.3427362805387</v>
      </c>
      <c r="C13" s="12">
        <v>-150.89400253157442</v>
      </c>
      <c r="D13" s="25">
        <v>0.12790000000000001</v>
      </c>
      <c r="E13" s="25">
        <v>21.15</v>
      </c>
      <c r="F13" s="25">
        <v>9.0399999999999991</v>
      </c>
      <c r="G13" s="25">
        <v>0.71799999999999997</v>
      </c>
      <c r="H13" s="25">
        <v>0</v>
      </c>
      <c r="I13" s="25">
        <v>0.1021</v>
      </c>
      <c r="J13" s="25">
        <v>36.090000000000003</v>
      </c>
      <c r="K13" s="25">
        <v>3.0000000000000001E-3</v>
      </c>
      <c r="L13" s="25">
        <v>26.14</v>
      </c>
      <c r="M13" s="25">
        <v>3.54</v>
      </c>
      <c r="N13" s="25">
        <v>96.911000000000001</v>
      </c>
      <c r="O13" s="24">
        <v>8.2000000000000007E-3</v>
      </c>
      <c r="P13" s="24">
        <v>2.0310000000000001</v>
      </c>
      <c r="Q13" s="24">
        <v>0.78900000000000003</v>
      </c>
      <c r="R13" s="24">
        <v>4.9500000000000002E-2</v>
      </c>
      <c r="S13" s="24">
        <v>0</v>
      </c>
      <c r="T13" s="24">
        <v>6.3E-3</v>
      </c>
      <c r="U13" s="24">
        <v>2.94</v>
      </c>
      <c r="V13" s="24">
        <v>2.9999999999999997E-4</v>
      </c>
      <c r="W13" s="24">
        <v>1.7809999999999999</v>
      </c>
      <c r="X13" s="24">
        <v>0.43</v>
      </c>
      <c r="Y13" s="24">
        <v>8.0352999999999994</v>
      </c>
      <c r="Z13" s="25">
        <f t="shared" si="0"/>
        <v>0.58403016888014425</v>
      </c>
      <c r="AA13" s="25">
        <f t="shared" si="1"/>
        <v>0.14100672241351039</v>
      </c>
      <c r="AB13" s="25">
        <f t="shared" si="2"/>
        <v>0.25873093949827841</v>
      </c>
      <c r="AC13" s="25">
        <f t="shared" si="3"/>
        <v>1.6232169208066895E-2</v>
      </c>
      <c r="AD13" s="25">
        <f t="shared" si="4"/>
        <v>0.80551786521935775</v>
      </c>
    </row>
    <row r="14" spans="1:30" x14ac:dyDescent="0.2">
      <c r="A14" s="24" t="s">
        <v>140</v>
      </c>
      <c r="B14" s="12">
        <v>1346.2367388121131</v>
      </c>
      <c r="C14" s="12">
        <v>0</v>
      </c>
      <c r="D14" s="25">
        <v>3.2399999999999998E-2</v>
      </c>
      <c r="E14" s="25">
        <v>22.07</v>
      </c>
      <c r="F14" s="25">
        <v>8.02</v>
      </c>
      <c r="G14" s="25">
        <v>0.4924</v>
      </c>
      <c r="H14" s="25">
        <v>2.3999999999999998E-3</v>
      </c>
      <c r="I14" s="25">
        <v>2.63E-2</v>
      </c>
      <c r="J14" s="25">
        <v>38.43</v>
      </c>
      <c r="K14" s="25">
        <v>8.9999999999999998E-4</v>
      </c>
      <c r="L14" s="25">
        <v>26.23</v>
      </c>
      <c r="M14" s="25">
        <v>4.78</v>
      </c>
      <c r="N14" s="25">
        <v>100.0843</v>
      </c>
      <c r="O14" s="24">
        <v>2E-3</v>
      </c>
      <c r="P14" s="24">
        <v>2.0259999999999998</v>
      </c>
      <c r="Q14" s="24">
        <v>0.66900000000000004</v>
      </c>
      <c r="R14" s="24">
        <v>3.2500000000000001E-2</v>
      </c>
      <c r="S14" s="24">
        <v>4.0000000000000002E-4</v>
      </c>
      <c r="T14" s="24">
        <v>1.5E-3</v>
      </c>
      <c r="U14" s="24">
        <v>2.9940000000000002</v>
      </c>
      <c r="V14" s="24">
        <v>1E-4</v>
      </c>
      <c r="W14" s="24">
        <v>1.7090000000000001</v>
      </c>
      <c r="X14" s="24">
        <v>0.55500000000000005</v>
      </c>
      <c r="Y14" s="24">
        <v>7.9896000000000003</v>
      </c>
      <c r="Z14" s="25">
        <f t="shared" si="0"/>
        <v>0.57629404822121055</v>
      </c>
      <c r="AA14" s="25">
        <f t="shared" si="1"/>
        <v>0.18715225088517956</v>
      </c>
      <c r="AB14" s="25">
        <f t="shared" si="2"/>
        <v>0.22559433485078403</v>
      </c>
      <c r="AC14" s="25">
        <f t="shared" si="3"/>
        <v>1.0959366042825831E-2</v>
      </c>
      <c r="AD14" s="25">
        <f t="shared" si="4"/>
        <v>0.75485865724381618</v>
      </c>
    </row>
    <row r="15" spans="1:30" x14ac:dyDescent="0.2"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Z15" s="25"/>
      <c r="AA15" s="25"/>
      <c r="AB15" s="25"/>
      <c r="AC15" s="25"/>
      <c r="AD15" s="25"/>
    </row>
    <row r="16" spans="1:30" x14ac:dyDescent="0.2">
      <c r="A16" s="24" t="s">
        <v>141</v>
      </c>
      <c r="D16" s="25">
        <f>AVERAGE(D5:D14)</f>
        <v>5.9970000000000009E-2</v>
      </c>
      <c r="E16" s="25">
        <f t="shared" ref="E16:AD16" si="5">AVERAGE(E5:E14)</f>
        <v>21.707000000000001</v>
      </c>
      <c r="F16" s="25">
        <f t="shared" si="5"/>
        <v>8.4089999999999989</v>
      </c>
      <c r="G16" s="25">
        <f t="shared" si="5"/>
        <v>0.56082999999999994</v>
      </c>
      <c r="H16" s="25">
        <f t="shared" si="5"/>
        <v>1.1179999999999999E-2</v>
      </c>
      <c r="I16" s="25">
        <f t="shared" si="5"/>
        <v>8.2539999999999988E-2</v>
      </c>
      <c r="J16" s="25">
        <f t="shared" si="5"/>
        <v>37.212000000000003</v>
      </c>
      <c r="K16" s="25">
        <f t="shared" si="5"/>
        <v>5.4000000000000001E-4</v>
      </c>
      <c r="L16" s="25">
        <f t="shared" si="5"/>
        <v>26.163</v>
      </c>
      <c r="M16" s="25">
        <f t="shared" si="5"/>
        <v>4.1029999999999998</v>
      </c>
      <c r="N16" s="25">
        <f t="shared" si="5"/>
        <v>98.30910999999999</v>
      </c>
      <c r="O16" s="25">
        <f t="shared" si="5"/>
        <v>3.8E-3</v>
      </c>
      <c r="P16" s="25">
        <f t="shared" si="5"/>
        <v>2.0400999999999998</v>
      </c>
      <c r="Q16" s="25">
        <f t="shared" si="5"/>
        <v>0.71879999999999988</v>
      </c>
      <c r="R16" s="25">
        <f t="shared" si="5"/>
        <v>3.7939999999999995E-2</v>
      </c>
      <c r="S16" s="25">
        <f t="shared" si="5"/>
        <v>1.73E-3</v>
      </c>
      <c r="T16" s="25">
        <f t="shared" si="5"/>
        <v>4.9600000000000009E-3</v>
      </c>
      <c r="U16" s="25">
        <f t="shared" si="5"/>
        <v>2.9671000000000003</v>
      </c>
      <c r="V16" s="25">
        <f t="shared" si="5"/>
        <v>5.0000000000000002E-5</v>
      </c>
      <c r="W16" s="25">
        <f t="shared" si="5"/>
        <v>1.7449999999999999</v>
      </c>
      <c r="X16" s="25">
        <f t="shared" si="5"/>
        <v>0.48709999999999998</v>
      </c>
      <c r="Y16" s="25">
        <f t="shared" si="5"/>
        <v>8.0066199999999981</v>
      </c>
      <c r="Z16" s="25">
        <f t="shared" si="5"/>
        <v>0.58384924858237175</v>
      </c>
      <c r="AA16" s="25">
        <f t="shared" si="5"/>
        <v>0.16309384969191629</v>
      </c>
      <c r="AB16" s="25">
        <f t="shared" si="5"/>
        <v>0.24037914032221769</v>
      </c>
      <c r="AC16" s="25">
        <f t="shared" si="5"/>
        <v>1.2677761403494154E-2</v>
      </c>
      <c r="AD16" s="25">
        <f t="shared" si="5"/>
        <v>0.78187925414088078</v>
      </c>
    </row>
    <row r="17" spans="1:30" x14ac:dyDescent="0.2"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</row>
    <row r="18" spans="1:30" x14ac:dyDescent="0.2">
      <c r="A18" s="24" t="s">
        <v>142</v>
      </c>
      <c r="B18" s="12">
        <v>0</v>
      </c>
      <c r="C18" s="12">
        <v>-555.03343960926372</v>
      </c>
      <c r="D18" s="25">
        <v>2.92E-2</v>
      </c>
      <c r="E18" s="25">
        <v>21.84</v>
      </c>
      <c r="F18" s="25">
        <v>8.81</v>
      </c>
      <c r="G18" s="25">
        <v>0.90920000000000001</v>
      </c>
      <c r="H18" s="25">
        <v>4.3799999999999999E-2</v>
      </c>
      <c r="I18" s="25">
        <v>0.11310000000000001</v>
      </c>
      <c r="J18" s="25">
        <v>38.299999999999997</v>
      </c>
      <c r="K18" s="25">
        <v>0</v>
      </c>
      <c r="L18" s="25">
        <v>26.11</v>
      </c>
      <c r="M18" s="25">
        <v>3.9</v>
      </c>
      <c r="N18" s="25">
        <v>100.0553</v>
      </c>
      <c r="O18" s="24">
        <v>1.8E-3</v>
      </c>
      <c r="P18" s="24">
        <v>2.0150000000000001</v>
      </c>
      <c r="Q18" s="24">
        <v>0.73799999999999999</v>
      </c>
      <c r="R18" s="24">
        <v>6.0299999999999999E-2</v>
      </c>
      <c r="S18" s="24">
        <v>6.7000000000000002E-3</v>
      </c>
      <c r="T18" s="24">
        <v>6.7000000000000002E-3</v>
      </c>
      <c r="U18" s="24">
        <v>2.9980000000000002</v>
      </c>
      <c r="V18" s="24">
        <v>0</v>
      </c>
      <c r="W18" s="24">
        <v>1.7090000000000001</v>
      </c>
      <c r="X18" s="24">
        <v>0.45500000000000002</v>
      </c>
      <c r="Y18" s="24">
        <v>7.9905999999999997</v>
      </c>
      <c r="Z18" s="25">
        <f t="shared" si="0"/>
        <v>0.57691658508591304</v>
      </c>
      <c r="AA18" s="25">
        <f t="shared" si="1"/>
        <v>0.15359686729905817</v>
      </c>
      <c r="AB18" s="25">
        <f t="shared" si="2"/>
        <v>0.2491307430037471</v>
      </c>
      <c r="AC18" s="25">
        <f t="shared" si="3"/>
        <v>2.0355804611281773E-2</v>
      </c>
      <c r="AD18" s="25">
        <f t="shared" si="4"/>
        <v>0.78974121996303137</v>
      </c>
    </row>
    <row r="19" spans="1:30" x14ac:dyDescent="0.2">
      <c r="A19" s="24" t="s">
        <v>143</v>
      </c>
      <c r="B19" s="12">
        <v>61.814237842101988</v>
      </c>
      <c r="C19" s="12">
        <v>-493.21920176716179</v>
      </c>
      <c r="D19" s="25">
        <v>0.1391</v>
      </c>
      <c r="E19" s="25">
        <v>21.96</v>
      </c>
      <c r="F19" s="25">
        <v>8.74</v>
      </c>
      <c r="G19" s="25">
        <v>0.81100000000000005</v>
      </c>
      <c r="H19" s="25">
        <v>3.7900000000000003E-2</v>
      </c>
      <c r="I19" s="25">
        <v>9.9500000000000005E-2</v>
      </c>
      <c r="J19" s="25">
        <v>38.049999999999997</v>
      </c>
      <c r="K19" s="25">
        <v>1.2699999999999999E-2</v>
      </c>
      <c r="L19" s="25">
        <v>25.88</v>
      </c>
      <c r="M19" s="25">
        <v>4.2699999999999996</v>
      </c>
      <c r="N19" s="25">
        <v>100.0001</v>
      </c>
      <c r="O19" s="24">
        <v>8.6E-3</v>
      </c>
      <c r="P19" s="24">
        <v>2.0259999999999998</v>
      </c>
      <c r="Q19" s="24">
        <v>0.73299999999999998</v>
      </c>
      <c r="R19" s="24">
        <v>5.3800000000000001E-2</v>
      </c>
      <c r="S19" s="24">
        <v>5.7000000000000002E-3</v>
      </c>
      <c r="T19" s="24">
        <v>5.8999999999999999E-3</v>
      </c>
      <c r="U19" s="24">
        <v>2.9780000000000002</v>
      </c>
      <c r="V19" s="24">
        <v>1.2999999999999999E-3</v>
      </c>
      <c r="W19" s="24">
        <v>1.6930000000000001</v>
      </c>
      <c r="X19" s="24">
        <v>0.498</v>
      </c>
      <c r="Y19" s="24">
        <v>8.0032999999999994</v>
      </c>
      <c r="Z19" s="25">
        <f t="shared" si="0"/>
        <v>0.56854053327960241</v>
      </c>
      <c r="AA19" s="25">
        <f t="shared" si="1"/>
        <v>0.16723755792867218</v>
      </c>
      <c r="AB19" s="25">
        <f t="shared" si="2"/>
        <v>0.24615487944119818</v>
      </c>
      <c r="AC19" s="25">
        <f t="shared" si="3"/>
        <v>1.8067029350527234E-2</v>
      </c>
      <c r="AD19" s="25">
        <f t="shared" si="4"/>
        <v>0.77270652670013706</v>
      </c>
    </row>
    <row r="20" spans="1:30" x14ac:dyDescent="0.2">
      <c r="A20" s="24" t="s">
        <v>144</v>
      </c>
      <c r="B20" s="12">
        <v>123.79810671134936</v>
      </c>
      <c r="C20" s="12">
        <v>-431.23533289791442</v>
      </c>
      <c r="D20" s="25">
        <v>8.7499999999999994E-2</v>
      </c>
      <c r="E20" s="25">
        <v>22.02</v>
      </c>
      <c r="F20" s="25">
        <v>8.42</v>
      </c>
      <c r="G20" s="25">
        <v>0.70679999999999998</v>
      </c>
      <c r="H20" s="25">
        <v>1.9400000000000001E-2</v>
      </c>
      <c r="I20" s="25">
        <v>1.83E-2</v>
      </c>
      <c r="J20" s="25">
        <v>38.19</v>
      </c>
      <c r="K20" s="25">
        <v>0</v>
      </c>
      <c r="L20" s="25">
        <v>25.92</v>
      </c>
      <c r="M20" s="25">
        <v>4.3</v>
      </c>
      <c r="N20" s="25">
        <v>99.682100000000005</v>
      </c>
      <c r="O20" s="24">
        <v>5.4000000000000003E-3</v>
      </c>
      <c r="P20" s="24">
        <v>2.0339999999999998</v>
      </c>
      <c r="Q20" s="24">
        <v>0.70699999999999996</v>
      </c>
      <c r="R20" s="24">
        <v>4.6899999999999997E-2</v>
      </c>
      <c r="S20" s="24">
        <v>3.0000000000000001E-3</v>
      </c>
      <c r="T20" s="24">
        <v>1.1000000000000001E-3</v>
      </c>
      <c r="U20" s="24">
        <v>2.992</v>
      </c>
      <c r="V20" s="24">
        <v>0</v>
      </c>
      <c r="W20" s="24">
        <v>1.698</v>
      </c>
      <c r="X20" s="24">
        <v>0.502</v>
      </c>
      <c r="Y20" s="24">
        <v>7.9893999999999998</v>
      </c>
      <c r="Z20" s="25">
        <f t="shared" si="0"/>
        <v>0.57483327126849249</v>
      </c>
      <c r="AA20" s="25">
        <f t="shared" si="1"/>
        <v>0.16994481871424219</v>
      </c>
      <c r="AB20" s="25">
        <f t="shared" si="2"/>
        <v>0.23934459528081517</v>
      </c>
      <c r="AC20" s="25">
        <f t="shared" si="3"/>
        <v>1.5877314736450116E-2</v>
      </c>
      <c r="AD20" s="25">
        <f t="shared" si="4"/>
        <v>0.77181818181818174</v>
      </c>
    </row>
    <row r="21" spans="1:30" x14ac:dyDescent="0.2">
      <c r="A21" s="24" t="s">
        <v>145</v>
      </c>
      <c r="B21" s="12">
        <v>184.62573201433347</v>
      </c>
      <c r="C21" s="12">
        <v>-370.40770759493029</v>
      </c>
      <c r="D21" s="25">
        <v>6.1600000000000002E-2</v>
      </c>
      <c r="E21" s="25">
        <v>21.92</v>
      </c>
      <c r="F21" s="25">
        <v>7.77</v>
      </c>
      <c r="G21" s="25">
        <v>0.60150000000000003</v>
      </c>
      <c r="H21" s="25">
        <v>0</v>
      </c>
      <c r="I21" s="25">
        <v>7.5300000000000006E-2</v>
      </c>
      <c r="J21" s="25">
        <v>38.229999999999997</v>
      </c>
      <c r="K21" s="25">
        <v>2.9999999999999997E-4</v>
      </c>
      <c r="L21" s="25">
        <v>26.48</v>
      </c>
      <c r="M21" s="25">
        <v>4.5599999999999996</v>
      </c>
      <c r="N21" s="25">
        <v>99.698800000000006</v>
      </c>
      <c r="O21" s="24">
        <v>3.8E-3</v>
      </c>
      <c r="P21" s="24">
        <v>2.024</v>
      </c>
      <c r="Q21" s="24">
        <v>0.65200000000000002</v>
      </c>
      <c r="R21" s="24">
        <v>3.9899999999999998E-2</v>
      </c>
      <c r="S21" s="24">
        <v>0</v>
      </c>
      <c r="T21" s="24">
        <v>4.4000000000000003E-3</v>
      </c>
      <c r="U21" s="24">
        <v>2.9950000000000001</v>
      </c>
      <c r="V21" s="24">
        <v>0</v>
      </c>
      <c r="W21" s="24">
        <v>1.7350000000000001</v>
      </c>
      <c r="X21" s="24">
        <v>0.53300000000000003</v>
      </c>
      <c r="Y21" s="24">
        <v>7.9871999999999996</v>
      </c>
      <c r="Z21" s="25">
        <f t="shared" si="0"/>
        <v>0.58616845163687958</v>
      </c>
      <c r="AA21" s="25">
        <f t="shared" si="1"/>
        <v>0.18007365113686272</v>
      </c>
      <c r="AB21" s="25">
        <f t="shared" si="2"/>
        <v>0.22027771208486774</v>
      </c>
      <c r="AC21" s="25">
        <f t="shared" si="3"/>
        <v>1.3480185141389911E-2</v>
      </c>
      <c r="AD21" s="25">
        <f t="shared" si="4"/>
        <v>0.7649911816578483</v>
      </c>
    </row>
    <row r="22" spans="1:30" x14ac:dyDescent="0.2">
      <c r="A22" s="24" t="s">
        <v>146</v>
      </c>
      <c r="B22" s="12">
        <v>246.60960088358084</v>
      </c>
      <c r="C22" s="12">
        <v>-308.42383872568291</v>
      </c>
      <c r="D22" s="25">
        <v>7.7499999999999999E-2</v>
      </c>
      <c r="E22" s="25">
        <v>22.02</v>
      </c>
      <c r="F22" s="25">
        <v>7.54</v>
      </c>
      <c r="G22" s="25">
        <v>0.60960000000000003</v>
      </c>
      <c r="H22" s="25">
        <v>5.11E-2</v>
      </c>
      <c r="I22" s="25">
        <v>7.2900000000000006E-2</v>
      </c>
      <c r="J22" s="25">
        <v>38.29</v>
      </c>
      <c r="K22" s="25">
        <v>7.7999999999999996E-3</v>
      </c>
      <c r="L22" s="25">
        <v>26.76</v>
      </c>
      <c r="M22" s="25">
        <v>4.83</v>
      </c>
      <c r="N22" s="25">
        <v>100.2589</v>
      </c>
      <c r="O22" s="24">
        <v>4.7999999999999996E-3</v>
      </c>
      <c r="P22" s="24">
        <v>2.024</v>
      </c>
      <c r="Q22" s="24">
        <v>0.63</v>
      </c>
      <c r="R22" s="24">
        <v>4.0300000000000002E-2</v>
      </c>
      <c r="S22" s="24">
        <v>7.7000000000000002E-3</v>
      </c>
      <c r="T22" s="24">
        <v>4.3E-3</v>
      </c>
      <c r="U22" s="24">
        <v>2.9849999999999999</v>
      </c>
      <c r="V22" s="24">
        <v>8.0000000000000004E-4</v>
      </c>
      <c r="W22" s="24">
        <v>1.7450000000000001</v>
      </c>
      <c r="X22" s="24">
        <v>0.56100000000000005</v>
      </c>
      <c r="Y22" s="24">
        <v>8.0029000000000003</v>
      </c>
      <c r="Z22" s="25">
        <f t="shared" si="0"/>
        <v>0.58629842421798883</v>
      </c>
      <c r="AA22" s="25">
        <f t="shared" si="1"/>
        <v>0.18848906360245943</v>
      </c>
      <c r="AB22" s="25">
        <f t="shared" si="2"/>
        <v>0.21167221046265497</v>
      </c>
      <c r="AC22" s="25">
        <f t="shared" si="3"/>
        <v>1.3540301716896819E-2</v>
      </c>
      <c r="AD22" s="25">
        <f t="shared" si="4"/>
        <v>0.75672159583694709</v>
      </c>
    </row>
    <row r="23" spans="1:30" x14ac:dyDescent="0.2">
      <c r="A23" s="24" t="s">
        <v>147</v>
      </c>
      <c r="B23" s="12">
        <v>308.4238387256828</v>
      </c>
      <c r="C23" s="12">
        <v>-246.60960088358092</v>
      </c>
      <c r="D23" s="25">
        <v>4.2700000000000002E-2</v>
      </c>
      <c r="E23" s="25">
        <v>22</v>
      </c>
      <c r="F23" s="25">
        <v>6.93</v>
      </c>
      <c r="G23" s="25">
        <v>0.58630000000000004</v>
      </c>
      <c r="H23" s="25">
        <v>0.11899999999999999</v>
      </c>
      <c r="I23" s="25">
        <v>4.6699999999999998E-2</v>
      </c>
      <c r="J23" s="25">
        <v>38.53</v>
      </c>
      <c r="K23" s="25">
        <v>1.38E-2</v>
      </c>
      <c r="L23" s="25">
        <v>26.71</v>
      </c>
      <c r="M23" s="25">
        <v>5.03</v>
      </c>
      <c r="N23" s="25">
        <v>100.00839999999999</v>
      </c>
      <c r="O23" s="24">
        <v>2.5999999999999999E-3</v>
      </c>
      <c r="P23" s="24">
        <v>2.0209999999999999</v>
      </c>
      <c r="Q23" s="24">
        <v>0.57799999999999996</v>
      </c>
      <c r="R23" s="24">
        <v>3.8699999999999998E-2</v>
      </c>
      <c r="S23" s="24">
        <v>1.7999999999999999E-2</v>
      </c>
      <c r="T23" s="24">
        <v>2.7000000000000001E-3</v>
      </c>
      <c r="U23" s="24">
        <v>3.0030000000000001</v>
      </c>
      <c r="V23" s="24">
        <v>1.4E-3</v>
      </c>
      <c r="W23" s="24">
        <v>1.7410000000000001</v>
      </c>
      <c r="X23" s="24">
        <v>0.58499999999999996</v>
      </c>
      <c r="Y23" s="24">
        <v>7.9915000000000003</v>
      </c>
      <c r="Z23" s="25">
        <f t="shared" si="0"/>
        <v>0.59163353382947637</v>
      </c>
      <c r="AA23" s="25">
        <f t="shared" si="1"/>
        <v>0.19879702314201245</v>
      </c>
      <c r="AB23" s="25">
        <f t="shared" si="2"/>
        <v>0.19641825534373195</v>
      </c>
      <c r="AC23" s="25">
        <f t="shared" si="3"/>
        <v>1.3151187684779284E-2</v>
      </c>
      <c r="AD23" s="25">
        <f t="shared" si="4"/>
        <v>0.74849527085124679</v>
      </c>
    </row>
    <row r="24" spans="1:30" x14ac:dyDescent="0.2">
      <c r="A24" s="24" t="s">
        <v>148</v>
      </c>
      <c r="B24" s="12">
        <v>370.40770759493017</v>
      </c>
      <c r="C24" s="12">
        <v>-184.62573201433355</v>
      </c>
      <c r="D24" s="25">
        <v>6.6699999999999995E-2</v>
      </c>
      <c r="E24" s="25">
        <v>22.21</v>
      </c>
      <c r="F24" s="25">
        <v>7.18</v>
      </c>
      <c r="G24" s="25">
        <v>0.4899</v>
      </c>
      <c r="H24" s="25">
        <v>4.7999999999999996E-3</v>
      </c>
      <c r="I24" s="25">
        <v>6.3E-3</v>
      </c>
      <c r="J24" s="25">
        <v>38.5</v>
      </c>
      <c r="K24" s="25">
        <v>4.1999999999999997E-3</v>
      </c>
      <c r="L24" s="25">
        <v>26.45</v>
      </c>
      <c r="M24" s="25">
        <v>5.1100000000000003</v>
      </c>
      <c r="N24" s="25">
        <v>100.0219</v>
      </c>
      <c r="O24" s="24">
        <v>4.1000000000000003E-3</v>
      </c>
      <c r="P24" s="24">
        <v>2.0369999999999999</v>
      </c>
      <c r="Q24" s="24">
        <v>0.59899999999999998</v>
      </c>
      <c r="R24" s="24">
        <v>3.2300000000000002E-2</v>
      </c>
      <c r="S24" s="24">
        <v>6.9999999999999999E-4</v>
      </c>
      <c r="T24" s="24">
        <v>4.0000000000000002E-4</v>
      </c>
      <c r="U24" s="24">
        <v>2.996</v>
      </c>
      <c r="V24" s="24">
        <v>4.0000000000000002E-4</v>
      </c>
      <c r="W24" s="24">
        <v>1.7210000000000001</v>
      </c>
      <c r="X24" s="24">
        <v>0.59299999999999997</v>
      </c>
      <c r="Y24" s="24">
        <v>7.984</v>
      </c>
      <c r="Z24" s="25">
        <f t="shared" si="0"/>
        <v>0.58432078226326678</v>
      </c>
      <c r="AA24" s="25">
        <f t="shared" si="1"/>
        <v>0.2013377245102366</v>
      </c>
      <c r="AB24" s="25">
        <f t="shared" si="2"/>
        <v>0.20337486843445488</v>
      </c>
      <c r="AC24" s="25">
        <f t="shared" si="3"/>
        <v>1.0966624792041559E-2</v>
      </c>
      <c r="AD24" s="25">
        <f t="shared" si="4"/>
        <v>0.74373379429559205</v>
      </c>
    </row>
    <row r="25" spans="1:30" x14ac:dyDescent="0.2">
      <c r="A25" s="24" t="s">
        <v>149</v>
      </c>
      <c r="B25" s="12">
        <v>431.2353328979143</v>
      </c>
      <c r="C25" s="12">
        <v>-123.79810671134942</v>
      </c>
      <c r="D25" s="25">
        <v>2.35E-2</v>
      </c>
      <c r="E25" s="25">
        <v>22.49</v>
      </c>
      <c r="F25" s="25">
        <v>7.74</v>
      </c>
      <c r="G25" s="25">
        <v>0.44090000000000001</v>
      </c>
      <c r="H25" s="25">
        <v>1.44E-2</v>
      </c>
      <c r="I25" s="25">
        <v>8.6E-3</v>
      </c>
      <c r="J25" s="25">
        <v>38.700000000000003</v>
      </c>
      <c r="K25" s="25">
        <v>4.4999999999999997E-3</v>
      </c>
      <c r="L25" s="25">
        <v>25.45</v>
      </c>
      <c r="M25" s="25">
        <v>5.26</v>
      </c>
      <c r="N25" s="25">
        <v>100.1319</v>
      </c>
      <c r="O25" s="24">
        <v>1.4E-3</v>
      </c>
      <c r="P25" s="24">
        <v>2.0529999999999999</v>
      </c>
      <c r="Q25" s="24">
        <v>0.64200000000000002</v>
      </c>
      <c r="R25" s="24">
        <v>2.8899999999999999E-2</v>
      </c>
      <c r="S25" s="24">
        <v>2.2000000000000001E-3</v>
      </c>
      <c r="T25" s="24">
        <v>5.0000000000000001E-4</v>
      </c>
      <c r="U25" s="24">
        <v>2.996</v>
      </c>
      <c r="V25" s="24">
        <v>4.0000000000000002E-4</v>
      </c>
      <c r="W25" s="24">
        <v>1.6479999999999999</v>
      </c>
      <c r="X25" s="24">
        <v>0.60699999999999998</v>
      </c>
      <c r="Y25" s="24">
        <v>7.9794999999999998</v>
      </c>
      <c r="Z25" s="25">
        <f t="shared" si="0"/>
        <v>0.56324549711199967</v>
      </c>
      <c r="AA25" s="25">
        <f t="shared" si="1"/>
        <v>0.2074575344338494</v>
      </c>
      <c r="AB25" s="25">
        <f t="shared" si="2"/>
        <v>0.21941966574387364</v>
      </c>
      <c r="AC25" s="25">
        <f t="shared" si="3"/>
        <v>9.8773027102771783E-3</v>
      </c>
      <c r="AD25" s="25">
        <f t="shared" si="4"/>
        <v>0.73082039911308205</v>
      </c>
    </row>
    <row r="26" spans="1:30" x14ac:dyDescent="0.2">
      <c r="A26" s="24" t="s">
        <v>150</v>
      </c>
      <c r="B26" s="12">
        <v>493.21920176716168</v>
      </c>
      <c r="C26" s="12">
        <v>-61.814237842102045</v>
      </c>
      <c r="D26" s="25">
        <v>2.41E-2</v>
      </c>
      <c r="E26" s="25">
        <v>22.5</v>
      </c>
      <c r="F26" s="25">
        <v>7.95</v>
      </c>
      <c r="G26" s="25">
        <v>0.49490000000000001</v>
      </c>
      <c r="H26" s="25">
        <v>2.3999999999999998E-3</v>
      </c>
      <c r="I26" s="25">
        <v>6.7999999999999996E-3</v>
      </c>
      <c r="J26" s="25">
        <v>38.81</v>
      </c>
      <c r="K26" s="25">
        <v>8.9999999999999998E-4</v>
      </c>
      <c r="L26" s="25">
        <v>25.51</v>
      </c>
      <c r="M26" s="25">
        <v>5.17</v>
      </c>
      <c r="N26" s="25">
        <v>100.46899999999999</v>
      </c>
      <c r="O26" s="24">
        <v>1.5E-3</v>
      </c>
      <c r="P26" s="24">
        <v>2.0470000000000002</v>
      </c>
      <c r="Q26" s="24">
        <v>0.65800000000000003</v>
      </c>
      <c r="R26" s="24">
        <v>3.2399999999999998E-2</v>
      </c>
      <c r="S26" s="24">
        <v>4.0000000000000002E-4</v>
      </c>
      <c r="T26" s="24">
        <v>4.0000000000000002E-4</v>
      </c>
      <c r="U26" s="24">
        <v>2.996</v>
      </c>
      <c r="V26" s="24">
        <v>1E-4</v>
      </c>
      <c r="W26" s="24">
        <v>1.647</v>
      </c>
      <c r="X26" s="24">
        <v>0.59499999999999997</v>
      </c>
      <c r="Y26" s="24">
        <v>7.9778000000000002</v>
      </c>
      <c r="Z26" s="25">
        <f t="shared" si="0"/>
        <v>0.56165598144864282</v>
      </c>
      <c r="AA26" s="25">
        <f t="shared" si="1"/>
        <v>0.20290546992224798</v>
      </c>
      <c r="AB26" s="25">
        <f t="shared" si="2"/>
        <v>0.22438957850225069</v>
      </c>
      <c r="AC26" s="25">
        <f t="shared" si="3"/>
        <v>1.1048970126858544E-2</v>
      </c>
      <c r="AD26" s="25">
        <f t="shared" si="4"/>
        <v>0.7346119536128457</v>
      </c>
    </row>
    <row r="27" spans="1:30" x14ac:dyDescent="0.2">
      <c r="A27" s="24" t="s">
        <v>151</v>
      </c>
      <c r="B27" s="12">
        <v>555.03343960926372</v>
      </c>
      <c r="C27" s="12">
        <v>0</v>
      </c>
      <c r="D27" s="25">
        <v>1.4999999999999999E-2</v>
      </c>
      <c r="E27" s="25">
        <v>22.79</v>
      </c>
      <c r="F27" s="25">
        <v>8.5299999999999994</v>
      </c>
      <c r="G27" s="25">
        <v>0.5232</v>
      </c>
      <c r="H27" s="25">
        <v>6.4399999999999999E-2</v>
      </c>
      <c r="I27" s="25">
        <v>1.9400000000000001E-2</v>
      </c>
      <c r="J27" s="25">
        <v>39.07</v>
      </c>
      <c r="K27" s="25">
        <v>3.8300000000000001E-2</v>
      </c>
      <c r="L27" s="25">
        <v>24.75</v>
      </c>
      <c r="M27" s="25">
        <v>4.97</v>
      </c>
      <c r="N27" s="25">
        <v>100.7702</v>
      </c>
      <c r="O27" s="24">
        <v>8.9999999999999998E-4</v>
      </c>
      <c r="P27" s="24">
        <v>2.0630000000000002</v>
      </c>
      <c r="Q27" s="24">
        <v>0.70199999999999996</v>
      </c>
      <c r="R27" s="24">
        <v>3.4000000000000002E-2</v>
      </c>
      <c r="S27" s="24">
        <v>9.5999999999999992E-3</v>
      </c>
      <c r="T27" s="24">
        <v>1.1000000000000001E-3</v>
      </c>
      <c r="U27" s="24">
        <v>3</v>
      </c>
      <c r="V27" s="24">
        <v>3.8E-3</v>
      </c>
      <c r="W27" s="24">
        <v>1.589</v>
      </c>
      <c r="X27" s="24">
        <v>0.56899999999999995</v>
      </c>
      <c r="Y27" s="24">
        <v>7.9725000000000001</v>
      </c>
      <c r="Z27" s="25">
        <f t="shared" si="0"/>
        <v>0.54906703524533518</v>
      </c>
      <c r="AA27" s="25">
        <f t="shared" si="1"/>
        <v>0.19661368348306843</v>
      </c>
      <c r="AB27" s="25">
        <f t="shared" si="2"/>
        <v>0.24257083621285416</v>
      </c>
      <c r="AC27" s="25">
        <f t="shared" si="3"/>
        <v>1.1748445058742226E-2</v>
      </c>
      <c r="AD27" s="25">
        <f t="shared" si="4"/>
        <v>0.73632993512511591</v>
      </c>
    </row>
    <row r="28" spans="1:30" x14ac:dyDescent="0.2"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  <c r="Z28" s="25"/>
      <c r="AA28" s="25"/>
      <c r="AB28" s="25"/>
      <c r="AC28" s="25"/>
      <c r="AD28" s="25"/>
    </row>
    <row r="29" spans="1:30" x14ac:dyDescent="0.2">
      <c r="A29" s="24" t="s">
        <v>152</v>
      </c>
      <c r="B29" s="12">
        <v>0</v>
      </c>
      <c r="C29" s="12">
        <v>-450.77935993310257</v>
      </c>
      <c r="D29" s="25">
        <v>3.73E-2</v>
      </c>
      <c r="E29" s="25">
        <v>22.07</v>
      </c>
      <c r="F29" s="25">
        <v>8.7899999999999991</v>
      </c>
      <c r="G29" s="25">
        <v>0.78890000000000005</v>
      </c>
      <c r="H29" s="25">
        <v>4.5999999999999999E-2</v>
      </c>
      <c r="I29" s="25">
        <v>0.1148</v>
      </c>
      <c r="J29" s="25">
        <v>38.28</v>
      </c>
      <c r="K29" s="25">
        <v>0</v>
      </c>
      <c r="L29" s="25">
        <v>25.64</v>
      </c>
      <c r="M29" s="25">
        <v>3.97</v>
      </c>
      <c r="N29" s="25">
        <v>99.737099999999998</v>
      </c>
      <c r="O29" s="24">
        <v>2.3E-3</v>
      </c>
      <c r="P29" s="24">
        <v>2.0369999999999999</v>
      </c>
      <c r="Q29" s="24">
        <v>0.73699999999999999</v>
      </c>
      <c r="R29" s="24">
        <v>5.2299999999999999E-2</v>
      </c>
      <c r="S29" s="24">
        <v>7.0000000000000001E-3</v>
      </c>
      <c r="T29" s="24">
        <v>6.7999999999999996E-3</v>
      </c>
      <c r="U29" s="24">
        <v>2.9969999999999999</v>
      </c>
      <c r="V29" s="24">
        <v>0</v>
      </c>
      <c r="W29" s="24">
        <v>1.679</v>
      </c>
      <c r="X29" s="24">
        <v>0.46300000000000002</v>
      </c>
      <c r="Y29" s="24">
        <v>7.9813999999999998</v>
      </c>
      <c r="Z29" s="25">
        <f t="shared" si="0"/>
        <v>0.57278340667963024</v>
      </c>
      <c r="AA29" s="25">
        <f t="shared" si="1"/>
        <v>0.15795039743458536</v>
      </c>
      <c r="AB29" s="25">
        <f t="shared" si="2"/>
        <v>0.25142428274144574</v>
      </c>
      <c r="AC29" s="25">
        <f t="shared" si="3"/>
        <v>1.7841913144338688E-2</v>
      </c>
      <c r="AD29" s="25">
        <f t="shared" si="4"/>
        <v>0.7838468720821663</v>
      </c>
    </row>
    <row r="30" spans="1:30" x14ac:dyDescent="0.2">
      <c r="A30" s="24" t="s">
        <v>153</v>
      </c>
      <c r="B30" s="12">
        <v>49.244289008980317</v>
      </c>
      <c r="C30" s="12">
        <v>-401.53507092412224</v>
      </c>
      <c r="D30" s="25">
        <v>5.7299999999999997E-2</v>
      </c>
      <c r="E30" s="25">
        <v>22.13</v>
      </c>
      <c r="F30" s="25">
        <v>8.6</v>
      </c>
      <c r="G30" s="25">
        <v>0.67649999999999999</v>
      </c>
      <c r="H30" s="25">
        <v>0</v>
      </c>
      <c r="I30" s="25">
        <v>9.6000000000000002E-2</v>
      </c>
      <c r="J30" s="25">
        <v>38.409999999999997</v>
      </c>
      <c r="K30" s="25">
        <v>0</v>
      </c>
      <c r="L30" s="25">
        <v>25.69</v>
      </c>
      <c r="M30" s="25">
        <v>4.4000000000000004</v>
      </c>
      <c r="N30" s="25">
        <v>100.0598</v>
      </c>
      <c r="O30" s="24">
        <v>3.5000000000000001E-3</v>
      </c>
      <c r="P30" s="24">
        <v>2.0329999999999999</v>
      </c>
      <c r="Q30" s="24">
        <v>0.71799999999999997</v>
      </c>
      <c r="R30" s="24">
        <v>4.4699999999999997E-2</v>
      </c>
      <c r="S30" s="24">
        <v>0</v>
      </c>
      <c r="T30" s="24">
        <v>5.5999999999999999E-3</v>
      </c>
      <c r="U30" s="24">
        <v>2.9929999999999999</v>
      </c>
      <c r="V30" s="24">
        <v>0</v>
      </c>
      <c r="W30" s="24">
        <v>1.6739999999999999</v>
      </c>
      <c r="X30" s="24">
        <v>0.51100000000000001</v>
      </c>
      <c r="Y30" s="24">
        <v>7.9828999999999999</v>
      </c>
      <c r="Z30" s="25">
        <f t="shared" si="0"/>
        <v>0.56790039691963223</v>
      </c>
      <c r="AA30" s="25">
        <f t="shared" si="1"/>
        <v>0.17335549750653051</v>
      </c>
      <c r="AB30" s="25">
        <f t="shared" si="2"/>
        <v>0.24357974013637748</v>
      </c>
      <c r="AC30" s="25">
        <f t="shared" si="3"/>
        <v>1.5164365437459712E-2</v>
      </c>
      <c r="AD30" s="25">
        <f t="shared" si="4"/>
        <v>0.7661327231121281</v>
      </c>
    </row>
    <row r="31" spans="1:30" x14ac:dyDescent="0.2">
      <c r="A31" s="24" t="s">
        <v>154</v>
      </c>
      <c r="B31" s="12">
        <v>97.348342892203249</v>
      </c>
      <c r="C31" s="12">
        <v>-353.43101704089929</v>
      </c>
      <c r="D31" s="25">
        <v>5.8299999999999998E-2</v>
      </c>
      <c r="E31" s="25">
        <v>22.15</v>
      </c>
      <c r="F31" s="25">
        <v>8.16</v>
      </c>
      <c r="G31" s="25">
        <v>0.62280000000000002</v>
      </c>
      <c r="H31" s="25">
        <v>0</v>
      </c>
      <c r="I31" s="25">
        <v>8.6800000000000002E-2</v>
      </c>
      <c r="J31" s="25">
        <v>38.53</v>
      </c>
      <c r="K31" s="25">
        <v>0</v>
      </c>
      <c r="L31" s="25">
        <v>25.93</v>
      </c>
      <c r="M31" s="25">
        <v>4.47</v>
      </c>
      <c r="N31" s="25">
        <v>100.0078</v>
      </c>
      <c r="O31" s="24">
        <v>3.5999999999999999E-3</v>
      </c>
      <c r="P31" s="24">
        <v>2.0339999999999998</v>
      </c>
      <c r="Q31" s="24">
        <v>0.68100000000000005</v>
      </c>
      <c r="R31" s="24">
        <v>4.1099999999999998E-2</v>
      </c>
      <c r="S31" s="24">
        <v>0</v>
      </c>
      <c r="T31" s="24">
        <v>5.1000000000000004E-3</v>
      </c>
      <c r="U31" s="24">
        <v>3.0009999999999999</v>
      </c>
      <c r="V31" s="24">
        <v>0</v>
      </c>
      <c r="W31" s="24">
        <v>1.6890000000000001</v>
      </c>
      <c r="X31" s="24">
        <v>0.51900000000000002</v>
      </c>
      <c r="Y31" s="24">
        <v>7.9737999999999998</v>
      </c>
      <c r="Z31" s="25">
        <f t="shared" si="0"/>
        <v>0.57643083853793375</v>
      </c>
      <c r="AA31" s="25">
        <f t="shared" si="1"/>
        <v>0.1771270605098802</v>
      </c>
      <c r="AB31" s="25">
        <f t="shared" si="2"/>
        <v>0.23241527592914915</v>
      </c>
      <c r="AC31" s="25">
        <f t="shared" si="3"/>
        <v>1.4026825023036755E-2</v>
      </c>
      <c r="AD31" s="25">
        <f t="shared" si="4"/>
        <v>0.76494565217391297</v>
      </c>
    </row>
    <row r="32" spans="1:30" x14ac:dyDescent="0.2">
      <c r="A32" s="24" t="s">
        <v>155</v>
      </c>
      <c r="B32" s="12">
        <v>150.14985802198302</v>
      </c>
      <c r="C32" s="12">
        <v>-300.62950191111952</v>
      </c>
      <c r="D32" s="25">
        <v>8.8800000000000004E-2</v>
      </c>
      <c r="E32" s="25">
        <v>22.25</v>
      </c>
      <c r="F32" s="25">
        <v>8.58</v>
      </c>
      <c r="G32" s="25">
        <v>0.58909999999999996</v>
      </c>
      <c r="H32" s="25">
        <v>0</v>
      </c>
      <c r="I32" s="25">
        <v>3.2599999999999997E-2</v>
      </c>
      <c r="J32" s="25">
        <v>38.22</v>
      </c>
      <c r="K32" s="25">
        <v>0</v>
      </c>
      <c r="L32" s="25">
        <v>25.56</v>
      </c>
      <c r="M32" s="25">
        <v>4.4800000000000004</v>
      </c>
      <c r="N32" s="25">
        <v>99.800600000000003</v>
      </c>
      <c r="O32" s="24">
        <v>5.4999999999999997E-3</v>
      </c>
      <c r="P32" s="24">
        <v>2.048</v>
      </c>
      <c r="Q32" s="24">
        <v>0.71799999999999997</v>
      </c>
      <c r="R32" s="24">
        <v>3.9E-2</v>
      </c>
      <c r="S32" s="24">
        <v>0</v>
      </c>
      <c r="T32" s="24">
        <v>1.9E-3</v>
      </c>
      <c r="U32" s="24">
        <v>2.984</v>
      </c>
      <c r="V32" s="24">
        <v>0</v>
      </c>
      <c r="W32" s="24">
        <v>1.669</v>
      </c>
      <c r="X32" s="24">
        <v>0.52200000000000002</v>
      </c>
      <c r="Y32" s="24">
        <v>7.9874999999999998</v>
      </c>
      <c r="Z32" s="25">
        <f t="shared" si="0"/>
        <v>0.56614654002713705</v>
      </c>
      <c r="AA32" s="25">
        <f t="shared" si="1"/>
        <v>0.17706919945725916</v>
      </c>
      <c r="AB32" s="25">
        <f t="shared" si="2"/>
        <v>0.24355495251017634</v>
      </c>
      <c r="AC32" s="25">
        <f t="shared" si="3"/>
        <v>1.3229308005427407E-2</v>
      </c>
      <c r="AD32" s="25">
        <f t="shared" si="4"/>
        <v>0.76175262437243274</v>
      </c>
    </row>
    <row r="33" spans="1:30" x14ac:dyDescent="0.2">
      <c r="A33" s="24" t="s">
        <v>156</v>
      </c>
      <c r="B33" s="12">
        <v>200.26971436654404</v>
      </c>
      <c r="C33" s="12">
        <v>-250.50964556655853</v>
      </c>
      <c r="D33" s="25">
        <v>2.3300000000000001E-2</v>
      </c>
      <c r="E33" s="25">
        <v>22.1</v>
      </c>
      <c r="F33" s="25">
        <v>7.25</v>
      </c>
      <c r="G33" s="25">
        <v>0.55410000000000004</v>
      </c>
      <c r="H33" s="25">
        <v>0</v>
      </c>
      <c r="I33" s="25">
        <v>5.3600000000000002E-2</v>
      </c>
      <c r="J33" s="25">
        <v>38.33</v>
      </c>
      <c r="K33" s="25">
        <v>0</v>
      </c>
      <c r="L33" s="25">
        <v>27.12</v>
      </c>
      <c r="M33" s="25">
        <v>4.6900000000000004</v>
      </c>
      <c r="N33" s="25">
        <v>100.121</v>
      </c>
      <c r="O33" s="24">
        <v>1.4E-3</v>
      </c>
      <c r="P33" s="24">
        <v>2.0329999999999999</v>
      </c>
      <c r="Q33" s="24">
        <v>0.60599999999999998</v>
      </c>
      <c r="R33" s="24">
        <v>3.6600000000000001E-2</v>
      </c>
      <c r="S33" s="24">
        <v>0</v>
      </c>
      <c r="T33" s="24">
        <v>3.0999999999999999E-3</v>
      </c>
      <c r="U33" s="24">
        <v>2.9910000000000001</v>
      </c>
      <c r="V33" s="24">
        <v>0</v>
      </c>
      <c r="W33" s="24">
        <v>1.77</v>
      </c>
      <c r="X33" s="24">
        <v>0.54500000000000004</v>
      </c>
      <c r="Y33" s="24">
        <v>7.9861000000000004</v>
      </c>
      <c r="Z33" s="25">
        <f t="shared" si="0"/>
        <v>0.59845820935893979</v>
      </c>
      <c r="AA33" s="25">
        <f t="shared" si="1"/>
        <v>0.18427103056532326</v>
      </c>
      <c r="AB33" s="25">
        <f t="shared" si="2"/>
        <v>0.20489586150933189</v>
      </c>
      <c r="AC33" s="25">
        <f t="shared" si="3"/>
        <v>1.2374898566405194E-2</v>
      </c>
      <c r="AD33" s="25">
        <f t="shared" si="4"/>
        <v>0.76457883369330459</v>
      </c>
    </row>
    <row r="34" spans="1:30" x14ac:dyDescent="0.2">
      <c r="A34" s="24" t="s">
        <v>157</v>
      </c>
      <c r="B34" s="12">
        <v>249.51400337552434</v>
      </c>
      <c r="C34" s="12">
        <v>-201.26535655757823</v>
      </c>
      <c r="D34" s="25">
        <v>1.9300000000000001E-2</v>
      </c>
      <c r="E34" s="25">
        <v>22.01</v>
      </c>
      <c r="F34" s="25">
        <v>7.06</v>
      </c>
      <c r="G34" s="25">
        <v>0.45040000000000002</v>
      </c>
      <c r="H34" s="25">
        <v>0</v>
      </c>
      <c r="I34" s="25">
        <v>5.5199999999999999E-2</v>
      </c>
      <c r="J34" s="25">
        <v>37.57</v>
      </c>
      <c r="K34" s="25">
        <v>8.0999999999999996E-3</v>
      </c>
      <c r="L34" s="25">
        <v>27.23</v>
      </c>
      <c r="M34" s="25">
        <v>4.6399999999999997</v>
      </c>
      <c r="N34" s="25">
        <v>99.043099999999995</v>
      </c>
      <c r="O34" s="24">
        <v>1.1999999999999999E-3</v>
      </c>
      <c r="P34" s="24">
        <v>2.0510000000000002</v>
      </c>
      <c r="Q34" s="24">
        <v>0.59799999999999998</v>
      </c>
      <c r="R34" s="24">
        <v>3.0200000000000001E-2</v>
      </c>
      <c r="S34" s="24">
        <v>0</v>
      </c>
      <c r="T34" s="24">
        <v>3.3E-3</v>
      </c>
      <c r="U34" s="24">
        <v>2.97</v>
      </c>
      <c r="V34" s="24">
        <v>8.0000000000000004E-4</v>
      </c>
      <c r="W34" s="24">
        <v>1.8</v>
      </c>
      <c r="X34" s="24">
        <v>0.54600000000000004</v>
      </c>
      <c r="Y34" s="24">
        <v>8.0005000000000006</v>
      </c>
      <c r="Z34" s="25">
        <f t="shared" si="0"/>
        <v>0.60520476094411946</v>
      </c>
      <c r="AA34" s="25">
        <f t="shared" si="1"/>
        <v>0.18357877748638293</v>
      </c>
      <c r="AB34" s="25">
        <f t="shared" si="2"/>
        <v>0.20106247058032414</v>
      </c>
      <c r="AC34" s="25">
        <f t="shared" si="3"/>
        <v>1.0153990989173561E-2</v>
      </c>
      <c r="AD34" s="25">
        <f t="shared" si="4"/>
        <v>0.76726342710997442</v>
      </c>
    </row>
    <row r="35" spans="1:30" x14ac:dyDescent="0.2">
      <c r="A35" s="24" t="s">
        <v>158</v>
      </c>
      <c r="B35" s="12">
        <v>298.75829238450467</v>
      </c>
      <c r="C35" s="12">
        <v>-152.0210675485979</v>
      </c>
      <c r="D35" s="25">
        <v>7.0499999999999993E-2</v>
      </c>
      <c r="E35" s="25">
        <v>22.29</v>
      </c>
      <c r="F35" s="25">
        <v>6.8</v>
      </c>
      <c r="G35" s="25">
        <v>0.3468</v>
      </c>
      <c r="H35" s="25">
        <v>3.6499999999999998E-2</v>
      </c>
      <c r="I35" s="25">
        <v>5.2900000000000003E-2</v>
      </c>
      <c r="J35" s="25">
        <v>38.46</v>
      </c>
      <c r="K35" s="25">
        <v>9.9000000000000008E-3</v>
      </c>
      <c r="L35" s="25">
        <v>27.26</v>
      </c>
      <c r="M35" s="25">
        <v>5.01</v>
      </c>
      <c r="N35" s="25">
        <v>100.3366</v>
      </c>
      <c r="O35" s="24">
        <v>4.3E-3</v>
      </c>
      <c r="P35" s="24">
        <v>2.0419999999999998</v>
      </c>
      <c r="Q35" s="24">
        <v>0.56699999999999995</v>
      </c>
      <c r="R35" s="24">
        <v>2.2800000000000001E-2</v>
      </c>
      <c r="S35" s="24">
        <v>5.4999999999999997E-3</v>
      </c>
      <c r="T35" s="24">
        <v>3.0999999999999999E-3</v>
      </c>
      <c r="U35" s="24">
        <v>2.9889999999999999</v>
      </c>
      <c r="V35" s="24">
        <v>1E-3</v>
      </c>
      <c r="W35" s="24">
        <v>1.772</v>
      </c>
      <c r="X35" s="24">
        <v>0.57999999999999996</v>
      </c>
      <c r="Y35" s="24">
        <v>7.9867999999999997</v>
      </c>
      <c r="Z35" s="25">
        <f t="shared" si="0"/>
        <v>0.60235230131212192</v>
      </c>
      <c r="AA35" s="25">
        <f t="shared" si="1"/>
        <v>0.19715820246107826</v>
      </c>
      <c r="AB35" s="25">
        <f t="shared" si="2"/>
        <v>0.19273913930246786</v>
      </c>
      <c r="AC35" s="25">
        <f t="shared" si="3"/>
        <v>7.7503569243320414E-3</v>
      </c>
      <c r="AD35" s="25">
        <f t="shared" si="4"/>
        <v>0.75340136054421769</v>
      </c>
    </row>
    <row r="36" spans="1:30" x14ac:dyDescent="0.2">
      <c r="A36" s="24" t="s">
        <v>159</v>
      </c>
      <c r="B36" s="12">
        <v>329.17210503599523</v>
      </c>
      <c r="C36" s="12">
        <v>-121.60725489710734</v>
      </c>
      <c r="D36" s="25">
        <v>5.3499999999999999E-2</v>
      </c>
      <c r="E36" s="25">
        <v>22.34</v>
      </c>
      <c r="F36" s="25">
        <v>6.84</v>
      </c>
      <c r="G36" s="25">
        <v>0.36919999999999997</v>
      </c>
      <c r="H36" s="25">
        <v>0</v>
      </c>
      <c r="I36" s="25">
        <v>4.5499999999999999E-2</v>
      </c>
      <c r="J36" s="25">
        <v>38.53</v>
      </c>
      <c r="K36" s="25">
        <v>0</v>
      </c>
      <c r="L36" s="25">
        <v>26.86</v>
      </c>
      <c r="M36" s="25">
        <v>5.15</v>
      </c>
      <c r="N36" s="25">
        <v>100.18810000000001</v>
      </c>
      <c r="O36" s="24">
        <v>3.3E-3</v>
      </c>
      <c r="P36" s="24">
        <v>2.0459999999999998</v>
      </c>
      <c r="Q36" s="24">
        <v>0.56899999999999995</v>
      </c>
      <c r="R36" s="24">
        <v>2.4299999999999999E-2</v>
      </c>
      <c r="S36" s="24">
        <v>0</v>
      </c>
      <c r="T36" s="24">
        <v>2.7000000000000001E-3</v>
      </c>
      <c r="U36" s="24">
        <v>2.9929999999999999</v>
      </c>
      <c r="V36" s="24">
        <v>0</v>
      </c>
      <c r="W36" s="24">
        <v>1.7450000000000001</v>
      </c>
      <c r="X36" s="24">
        <v>0.59599999999999997</v>
      </c>
      <c r="Y36" s="24">
        <v>7.9794</v>
      </c>
      <c r="Z36" s="25">
        <f t="shared" si="0"/>
        <v>0.59469038612275493</v>
      </c>
      <c r="AA36" s="25">
        <f t="shared" si="1"/>
        <v>0.20311488259550828</v>
      </c>
      <c r="AB36" s="25">
        <f t="shared" si="2"/>
        <v>0.19391336945779228</v>
      </c>
      <c r="AC36" s="25">
        <f t="shared" si="3"/>
        <v>8.2813618239443807E-3</v>
      </c>
      <c r="AD36" s="25">
        <f t="shared" si="4"/>
        <v>0.74540794532251176</v>
      </c>
    </row>
    <row r="37" spans="1:30" x14ac:dyDescent="0.2">
      <c r="A37" s="24" t="s">
        <v>160</v>
      </c>
      <c r="B37" s="12">
        <v>401.04003947132037</v>
      </c>
      <c r="C37" s="12">
        <v>-49.739320461782199</v>
      </c>
      <c r="D37" s="25">
        <v>3.9600000000000003E-2</v>
      </c>
      <c r="E37" s="25">
        <v>22.44</v>
      </c>
      <c r="F37" s="25">
        <v>7.43</v>
      </c>
      <c r="G37" s="25">
        <v>0.46500000000000002</v>
      </c>
      <c r="H37" s="25">
        <v>0</v>
      </c>
      <c r="I37" s="25">
        <v>4.8099999999999997E-2</v>
      </c>
      <c r="J37" s="25">
        <v>38.840000000000003</v>
      </c>
      <c r="K37" s="25">
        <v>3.3E-3</v>
      </c>
      <c r="L37" s="25">
        <v>24.89</v>
      </c>
      <c r="M37" s="25">
        <v>5.69</v>
      </c>
      <c r="N37" s="25">
        <v>99.846100000000007</v>
      </c>
      <c r="O37" s="24">
        <v>2.3999999999999998E-3</v>
      </c>
      <c r="P37" s="24">
        <v>2.0459999999999998</v>
      </c>
      <c r="Q37" s="24">
        <v>0.61599999999999999</v>
      </c>
      <c r="R37" s="24">
        <v>3.0499999999999999E-2</v>
      </c>
      <c r="S37" s="24">
        <v>0</v>
      </c>
      <c r="T37" s="24">
        <v>2.8E-3</v>
      </c>
      <c r="U37" s="24">
        <v>3.0049999999999999</v>
      </c>
      <c r="V37" s="24">
        <v>2.9999999999999997E-4</v>
      </c>
      <c r="W37" s="24">
        <v>1.61</v>
      </c>
      <c r="X37" s="24">
        <v>0.65600000000000003</v>
      </c>
      <c r="Y37" s="24">
        <v>7.9690000000000003</v>
      </c>
      <c r="Z37" s="25">
        <f t="shared" si="0"/>
        <v>0.55278969957081547</v>
      </c>
      <c r="AA37" s="25">
        <f t="shared" si="1"/>
        <v>0.22523605150214593</v>
      </c>
      <c r="AB37" s="25">
        <f t="shared" si="2"/>
        <v>0.21150214592274677</v>
      </c>
      <c r="AC37" s="25">
        <f t="shared" si="3"/>
        <v>1.0472103004291845E-2</v>
      </c>
      <c r="AD37" s="25">
        <f t="shared" si="4"/>
        <v>0.71050308914386584</v>
      </c>
    </row>
    <row r="38" spans="1:30" x14ac:dyDescent="0.2">
      <c r="A38" s="24" t="s">
        <v>161</v>
      </c>
      <c r="B38" s="12">
        <v>450.77935993310257</v>
      </c>
      <c r="C38" s="12">
        <v>0</v>
      </c>
      <c r="D38" s="25">
        <v>4.24E-2</v>
      </c>
      <c r="E38" s="25">
        <v>22.27</v>
      </c>
      <c r="F38" s="25">
        <v>8.06</v>
      </c>
      <c r="G38" s="25">
        <v>0.52990000000000004</v>
      </c>
      <c r="H38" s="25">
        <v>0</v>
      </c>
      <c r="I38" s="25">
        <v>2.4E-2</v>
      </c>
      <c r="J38" s="25">
        <v>38.479999999999997</v>
      </c>
      <c r="K38" s="25">
        <v>3.5999999999999999E-3</v>
      </c>
      <c r="L38" s="25">
        <v>25.3</v>
      </c>
      <c r="M38" s="25">
        <v>4.8600000000000003</v>
      </c>
      <c r="N38" s="25">
        <v>99.57</v>
      </c>
      <c r="O38" s="24">
        <v>2.5999999999999999E-3</v>
      </c>
      <c r="P38" s="24">
        <v>2.0470000000000002</v>
      </c>
      <c r="Q38" s="24">
        <v>0.67300000000000004</v>
      </c>
      <c r="R38" s="24">
        <v>3.5000000000000003E-2</v>
      </c>
      <c r="S38" s="24">
        <v>0</v>
      </c>
      <c r="T38" s="24">
        <v>1.4E-3</v>
      </c>
      <c r="U38" s="24">
        <v>3</v>
      </c>
      <c r="V38" s="24">
        <v>4.0000000000000002E-4</v>
      </c>
      <c r="W38" s="24">
        <v>1.65</v>
      </c>
      <c r="X38" s="24">
        <v>0.56499999999999995</v>
      </c>
      <c r="Y38" s="24">
        <v>7.9744999999999999</v>
      </c>
      <c r="Z38" s="25">
        <f t="shared" si="0"/>
        <v>0.56448853917208341</v>
      </c>
      <c r="AA38" s="25">
        <f t="shared" si="1"/>
        <v>0.19329456038316795</v>
      </c>
      <c r="AB38" s="25">
        <f t="shared" si="2"/>
        <v>0.23024290112897708</v>
      </c>
      <c r="AC38" s="25">
        <f t="shared" si="3"/>
        <v>1.1973999315771469E-2</v>
      </c>
      <c r="AD38" s="25">
        <f t="shared" si="4"/>
        <v>0.74492099322799099</v>
      </c>
    </row>
    <row r="39" spans="1:30" x14ac:dyDescent="0.2"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Z39" s="25"/>
      <c r="AA39" s="25"/>
      <c r="AB39" s="25"/>
      <c r="AC39" s="25"/>
      <c r="AD39" s="25"/>
    </row>
    <row r="40" spans="1:30" x14ac:dyDescent="0.2">
      <c r="A40" s="24" t="s">
        <v>162</v>
      </c>
      <c r="D40" s="25">
        <f>AVERAGE(D18:D27,D29:D38)</f>
        <v>5.2860000000000004E-2</v>
      </c>
      <c r="E40" s="25">
        <f t="shared" ref="E40:AD40" si="6">AVERAGE(E18:E27,E29:E38)</f>
        <v>22.189999999999998</v>
      </c>
      <c r="F40" s="25">
        <f t="shared" si="6"/>
        <v>7.859</v>
      </c>
      <c r="G40" s="25">
        <f t="shared" si="6"/>
        <v>0.57829999999999993</v>
      </c>
      <c r="H40" s="25">
        <f t="shared" si="6"/>
        <v>2.1985000000000001E-2</v>
      </c>
      <c r="I40" s="25">
        <f t="shared" si="6"/>
        <v>5.382E-2</v>
      </c>
      <c r="J40" s="25">
        <f t="shared" si="6"/>
        <v>38.416000000000004</v>
      </c>
      <c r="K40" s="25">
        <f t="shared" si="6"/>
        <v>5.3699999999999998E-3</v>
      </c>
      <c r="L40" s="25">
        <f t="shared" si="6"/>
        <v>26.074999999999999</v>
      </c>
      <c r="M40" s="25">
        <f t="shared" si="6"/>
        <v>4.7380000000000004</v>
      </c>
      <c r="N40" s="25">
        <f t="shared" si="6"/>
        <v>99.990340000000018</v>
      </c>
      <c r="O40" s="25">
        <f t="shared" si="6"/>
        <v>3.2499999999999994E-3</v>
      </c>
      <c r="P40" s="25">
        <f t="shared" si="6"/>
        <v>2.0380500000000001</v>
      </c>
      <c r="Q40" s="25">
        <f t="shared" si="6"/>
        <v>0.65610000000000013</v>
      </c>
      <c r="R40" s="25">
        <f t="shared" si="6"/>
        <v>3.8199999999999998E-2</v>
      </c>
      <c r="S40" s="25">
        <f t="shared" si="6"/>
        <v>3.3249999999999994E-3</v>
      </c>
      <c r="T40" s="25">
        <f t="shared" si="6"/>
        <v>3.1649999999999998E-3</v>
      </c>
      <c r="U40" s="25">
        <f t="shared" si="6"/>
        <v>2.9930999999999996</v>
      </c>
      <c r="V40" s="25">
        <f t="shared" si="6"/>
        <v>5.350000000000001E-4</v>
      </c>
      <c r="W40" s="25">
        <f t="shared" si="6"/>
        <v>1.6991999999999998</v>
      </c>
      <c r="X40" s="25">
        <f t="shared" si="6"/>
        <v>0.55004999999999993</v>
      </c>
      <c r="Y40" s="25">
        <f t="shared" si="6"/>
        <v>7.9850299999999992</v>
      </c>
      <c r="Z40" s="25">
        <f t="shared" si="6"/>
        <v>0.57719625870163838</v>
      </c>
      <c r="AA40" s="25">
        <f t="shared" si="6"/>
        <v>0.1869304527037286</v>
      </c>
      <c r="AB40" s="25">
        <f t="shared" si="6"/>
        <v>0.22290417418646191</v>
      </c>
      <c r="AC40" s="25">
        <f t="shared" si="6"/>
        <v>1.2969114408171284E-2</v>
      </c>
      <c r="AD40" s="25">
        <f t="shared" si="6"/>
        <v>0.75563617898782653</v>
      </c>
    </row>
    <row r="41" spans="1:30" x14ac:dyDescent="0.2"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</row>
    <row r="42" spans="1:30" x14ac:dyDescent="0.2">
      <c r="A42" s="24" t="s">
        <v>163</v>
      </c>
      <c r="B42" s="12">
        <v>0</v>
      </c>
      <c r="C42" s="12">
        <v>-501.89220950406821</v>
      </c>
      <c r="D42" s="25">
        <v>0</v>
      </c>
      <c r="E42" s="25">
        <v>22.21</v>
      </c>
      <c r="F42" s="25">
        <v>9.32</v>
      </c>
      <c r="G42" s="25">
        <v>1.1346000000000001</v>
      </c>
      <c r="H42" s="25">
        <v>9.5999999999999992E-3</v>
      </c>
      <c r="I42" s="25">
        <v>7.2599999999999998E-2</v>
      </c>
      <c r="J42" s="25">
        <v>38.46</v>
      </c>
      <c r="K42" s="25">
        <v>1.01E-2</v>
      </c>
      <c r="L42" s="25">
        <v>24.72</v>
      </c>
      <c r="M42" s="25">
        <v>4.96</v>
      </c>
      <c r="N42" s="25">
        <v>100.8969</v>
      </c>
      <c r="O42" s="24">
        <v>0</v>
      </c>
      <c r="P42" s="24">
        <v>2.0219999999999998</v>
      </c>
      <c r="Q42" s="24">
        <v>0.77200000000000002</v>
      </c>
      <c r="R42" s="24">
        <v>7.4200000000000002E-2</v>
      </c>
      <c r="S42" s="24">
        <v>1.4E-3</v>
      </c>
      <c r="T42" s="24">
        <v>4.1999999999999997E-3</v>
      </c>
      <c r="U42" s="24">
        <v>2.9710000000000001</v>
      </c>
      <c r="V42" s="24">
        <v>1E-3</v>
      </c>
      <c r="W42" s="24">
        <v>1.597</v>
      </c>
      <c r="X42" s="24">
        <v>0.57199999999999995</v>
      </c>
      <c r="Y42" s="24">
        <v>8.0147999999999993</v>
      </c>
      <c r="Z42" s="25">
        <f t="shared" si="0"/>
        <v>0.52964977447598827</v>
      </c>
      <c r="AA42" s="25">
        <f t="shared" si="1"/>
        <v>0.18970549217299015</v>
      </c>
      <c r="AB42" s="25">
        <f t="shared" si="2"/>
        <v>0.25603608384186788</v>
      </c>
      <c r="AC42" s="25">
        <f t="shared" si="3"/>
        <v>2.4608649509153622E-2</v>
      </c>
      <c r="AD42" s="25">
        <f t="shared" si="4"/>
        <v>0.73628400184416776</v>
      </c>
    </row>
    <row r="43" spans="1:30" x14ac:dyDescent="0.2">
      <c r="A43" s="24" t="s">
        <v>164</v>
      </c>
      <c r="B43" s="12">
        <v>36.400549446404135</v>
      </c>
      <c r="C43" s="12">
        <v>-465.49166005766409</v>
      </c>
      <c r="D43" s="25">
        <v>0</v>
      </c>
      <c r="E43" s="25">
        <v>22.14</v>
      </c>
      <c r="F43" s="25">
        <v>9.9499999999999993</v>
      </c>
      <c r="G43" s="25">
        <v>1.1700999999999999</v>
      </c>
      <c r="H43" s="25">
        <v>4.7800000000000002E-2</v>
      </c>
      <c r="I43" s="25">
        <v>0.1216</v>
      </c>
      <c r="J43" s="25">
        <v>38.44</v>
      </c>
      <c r="K43" s="25">
        <v>0</v>
      </c>
      <c r="L43" s="25">
        <v>24.18</v>
      </c>
      <c r="M43" s="25">
        <v>4.82</v>
      </c>
      <c r="N43" s="25">
        <v>100.8694</v>
      </c>
      <c r="O43" s="24">
        <v>0</v>
      </c>
      <c r="P43" s="24">
        <v>2.016</v>
      </c>
      <c r="Q43" s="24">
        <v>0.82399999999999995</v>
      </c>
      <c r="R43" s="24">
        <v>7.6600000000000001E-2</v>
      </c>
      <c r="S43" s="24">
        <v>7.1999999999999998E-3</v>
      </c>
      <c r="T43" s="24">
        <v>7.1000000000000004E-3</v>
      </c>
      <c r="U43" s="24">
        <v>2.97</v>
      </c>
      <c r="V43" s="24">
        <v>0</v>
      </c>
      <c r="W43" s="24">
        <v>1.5629999999999999</v>
      </c>
      <c r="X43" s="24">
        <v>0.55500000000000005</v>
      </c>
      <c r="Y43" s="24">
        <v>8.0190000000000001</v>
      </c>
      <c r="Z43" s="25">
        <f t="shared" si="0"/>
        <v>0.51778970383621548</v>
      </c>
      <c r="AA43" s="25">
        <f t="shared" si="1"/>
        <v>0.18386006758099785</v>
      </c>
      <c r="AB43" s="25">
        <f t="shared" si="2"/>
        <v>0.2729742264625985</v>
      </c>
      <c r="AC43" s="25">
        <f t="shared" si="3"/>
        <v>2.5376002120188167E-2</v>
      </c>
      <c r="AD43" s="25">
        <f t="shared" si="4"/>
        <v>0.73796033994334276</v>
      </c>
    </row>
    <row r="44" spans="1:30" x14ac:dyDescent="0.2">
      <c r="A44" s="24" t="s">
        <v>165</v>
      </c>
      <c r="B44" s="12">
        <v>71.840639739739231</v>
      </c>
      <c r="C44" s="12">
        <v>-430.05156976432897</v>
      </c>
      <c r="D44" s="25">
        <v>0</v>
      </c>
      <c r="E44" s="25">
        <v>21.99</v>
      </c>
      <c r="F44" s="25">
        <v>9.9700000000000006</v>
      </c>
      <c r="G44" s="25">
        <v>1.2783</v>
      </c>
      <c r="H44" s="25">
        <v>9.5999999999999992E-3</v>
      </c>
      <c r="I44" s="25">
        <v>0.14599999999999999</v>
      </c>
      <c r="J44" s="25">
        <v>38.229999999999997</v>
      </c>
      <c r="K44" s="25">
        <v>0</v>
      </c>
      <c r="L44" s="25">
        <v>24.09</v>
      </c>
      <c r="M44" s="25">
        <v>4.75</v>
      </c>
      <c r="N44" s="25">
        <v>100.46380000000001</v>
      </c>
      <c r="O44" s="24">
        <v>0</v>
      </c>
      <c r="P44" s="24">
        <v>2.012</v>
      </c>
      <c r="Q44" s="24">
        <v>0.82899999999999996</v>
      </c>
      <c r="R44" s="24">
        <v>8.4099999999999994E-2</v>
      </c>
      <c r="S44" s="24">
        <v>1.4E-3</v>
      </c>
      <c r="T44" s="24">
        <v>8.5000000000000006E-3</v>
      </c>
      <c r="U44" s="24">
        <v>2.968</v>
      </c>
      <c r="V44" s="24">
        <v>0</v>
      </c>
      <c r="W44" s="24">
        <v>1.5640000000000001</v>
      </c>
      <c r="X44" s="24">
        <v>0.55000000000000004</v>
      </c>
      <c r="Y44" s="24">
        <v>8.0169999999999995</v>
      </c>
      <c r="Z44" s="25">
        <f t="shared" si="0"/>
        <v>0.51666611608470159</v>
      </c>
      <c r="AA44" s="25">
        <f t="shared" si="1"/>
        <v>0.18169204849525952</v>
      </c>
      <c r="AB44" s="25">
        <f t="shared" si="2"/>
        <v>0.27385946945921841</v>
      </c>
      <c r="AC44" s="25">
        <f t="shared" si="3"/>
        <v>2.7782365960820586E-2</v>
      </c>
      <c r="AD44" s="25">
        <f t="shared" si="4"/>
        <v>0.739829706717124</v>
      </c>
    </row>
    <row r="45" spans="1:30" x14ac:dyDescent="0.2">
      <c r="A45" s="24" t="s">
        <v>166</v>
      </c>
      <c r="B45" s="12">
        <v>107.28073003308174</v>
      </c>
      <c r="C45" s="12">
        <v>-394.61147947098647</v>
      </c>
      <c r="D45" s="25">
        <v>0</v>
      </c>
      <c r="E45" s="25">
        <v>21.76</v>
      </c>
      <c r="F45" s="25">
        <v>10.41</v>
      </c>
      <c r="G45" s="25">
        <v>1.3</v>
      </c>
      <c r="H45" s="25">
        <v>4.0500000000000001E-2</v>
      </c>
      <c r="I45" s="25">
        <v>0.64300000000000002</v>
      </c>
      <c r="J45" s="25">
        <v>38</v>
      </c>
      <c r="K45" s="25">
        <v>0</v>
      </c>
      <c r="L45" s="25">
        <v>23.27</v>
      </c>
      <c r="M45" s="25">
        <v>4.55</v>
      </c>
      <c r="N45" s="25">
        <v>99.973600000000005</v>
      </c>
      <c r="O45" s="24">
        <v>0</v>
      </c>
      <c r="P45" s="24">
        <v>1.9990000000000001</v>
      </c>
      <c r="Q45" s="24">
        <v>0.86899999999999999</v>
      </c>
      <c r="R45" s="24">
        <v>8.5999999999999993E-2</v>
      </c>
      <c r="S45" s="24">
        <v>6.1000000000000004E-3</v>
      </c>
      <c r="T45" s="24">
        <v>3.7699999999999997E-2</v>
      </c>
      <c r="U45" s="24">
        <v>2.9609999999999999</v>
      </c>
      <c r="V45" s="24">
        <v>0</v>
      </c>
      <c r="W45" s="24">
        <v>1.5169999999999999</v>
      </c>
      <c r="X45" s="24">
        <v>0.52900000000000003</v>
      </c>
      <c r="Y45" s="24">
        <v>8.0047999999999995</v>
      </c>
      <c r="Z45" s="25">
        <f t="shared" si="0"/>
        <v>0.50549816727757424</v>
      </c>
      <c r="AA45" s="25">
        <f t="shared" si="1"/>
        <v>0.17627457514161951</v>
      </c>
      <c r="AB45" s="25">
        <f t="shared" si="2"/>
        <v>0.28957014328557146</v>
      </c>
      <c r="AC45" s="25">
        <f t="shared" si="3"/>
        <v>2.8657114295234921E-2</v>
      </c>
      <c r="AD45" s="25">
        <f t="shared" si="4"/>
        <v>0.74144672531769307</v>
      </c>
    </row>
    <row r="46" spans="1:30" x14ac:dyDescent="0.2">
      <c r="A46" s="24" t="s">
        <v>167</v>
      </c>
      <c r="B46" s="12">
        <v>143.41935203226728</v>
      </c>
      <c r="C46" s="12">
        <v>-358.47285747180092</v>
      </c>
      <c r="D46" s="25">
        <v>2.8999999999999998E-3</v>
      </c>
      <c r="E46" s="25">
        <v>21.86</v>
      </c>
      <c r="F46" s="25">
        <v>10.28</v>
      </c>
      <c r="G46" s="25">
        <v>1.33</v>
      </c>
      <c r="H46" s="25">
        <v>5.0200000000000002E-2</v>
      </c>
      <c r="I46" s="25">
        <v>0.157</v>
      </c>
      <c r="J46" s="25">
        <v>38.270000000000003</v>
      </c>
      <c r="K46" s="25">
        <v>0</v>
      </c>
      <c r="L46" s="25">
        <v>23.72</v>
      </c>
      <c r="M46" s="25">
        <v>4.6500000000000004</v>
      </c>
      <c r="N46" s="25">
        <v>100.3201</v>
      </c>
      <c r="O46" s="24">
        <v>2.0000000000000001E-4</v>
      </c>
      <c r="P46" s="24">
        <v>2.0019999999999998</v>
      </c>
      <c r="Q46" s="24">
        <v>0.85599999999999998</v>
      </c>
      <c r="R46" s="24">
        <v>8.7999999999999995E-2</v>
      </c>
      <c r="S46" s="24">
        <v>7.6E-3</v>
      </c>
      <c r="T46" s="24">
        <v>9.1999999999999998E-3</v>
      </c>
      <c r="U46" s="24">
        <v>2.9750000000000001</v>
      </c>
      <c r="V46" s="24">
        <v>0</v>
      </c>
      <c r="W46" s="24">
        <v>1.542</v>
      </c>
      <c r="X46" s="24">
        <v>0.53900000000000003</v>
      </c>
      <c r="Y46" s="24">
        <v>8.0190000000000001</v>
      </c>
      <c r="Z46" s="25">
        <f t="shared" si="0"/>
        <v>0.50975206611570245</v>
      </c>
      <c r="AA46" s="25">
        <f t="shared" si="1"/>
        <v>0.17818181818181819</v>
      </c>
      <c r="AB46" s="25">
        <f t="shared" si="2"/>
        <v>0.28297520661157027</v>
      </c>
      <c r="AC46" s="25">
        <f t="shared" si="3"/>
        <v>2.9090909090909091E-2</v>
      </c>
      <c r="AD46" s="25">
        <f t="shared" si="4"/>
        <v>0.74098990869774151</v>
      </c>
    </row>
    <row r="47" spans="1:30" x14ac:dyDescent="0.2">
      <c r="A47" s="24" t="s">
        <v>168</v>
      </c>
      <c r="B47" s="12">
        <v>178.85944232560638</v>
      </c>
      <c r="C47" s="12">
        <v>-323.03276717846182</v>
      </c>
      <c r="D47" s="25">
        <v>0</v>
      </c>
      <c r="E47" s="25">
        <v>21.87</v>
      </c>
      <c r="F47" s="25">
        <v>10.71</v>
      </c>
      <c r="G47" s="25">
        <v>1.67</v>
      </c>
      <c r="H47" s="25">
        <v>7.8899999999999998E-2</v>
      </c>
      <c r="I47" s="25">
        <v>0.18709999999999999</v>
      </c>
      <c r="J47" s="25">
        <v>38.18</v>
      </c>
      <c r="K47" s="25">
        <v>0</v>
      </c>
      <c r="L47" s="25">
        <v>23.33</v>
      </c>
      <c r="M47" s="25">
        <v>4.2699999999999996</v>
      </c>
      <c r="N47" s="25">
        <v>100.2959</v>
      </c>
      <c r="O47" s="24">
        <v>0</v>
      </c>
      <c r="P47" s="24">
        <v>2.0070000000000001</v>
      </c>
      <c r="Q47" s="24">
        <v>0.89300000000000002</v>
      </c>
      <c r="R47" s="24">
        <v>0.11</v>
      </c>
      <c r="S47" s="24">
        <v>1.1900000000000001E-2</v>
      </c>
      <c r="T47" s="24">
        <v>1.0999999999999999E-2</v>
      </c>
      <c r="U47" s="24">
        <v>2.972</v>
      </c>
      <c r="V47" s="24">
        <v>0</v>
      </c>
      <c r="W47" s="24">
        <v>1.5189999999999999</v>
      </c>
      <c r="X47" s="24">
        <v>0.495</v>
      </c>
      <c r="Y47" s="24">
        <v>8.0189000000000004</v>
      </c>
      <c r="Z47" s="25">
        <f t="shared" si="0"/>
        <v>0.50348027842227383</v>
      </c>
      <c r="AA47" s="25">
        <f t="shared" si="1"/>
        <v>0.16407026847862116</v>
      </c>
      <c r="AB47" s="25">
        <f t="shared" si="2"/>
        <v>0.29598939343718922</v>
      </c>
      <c r="AC47" s="25">
        <f t="shared" si="3"/>
        <v>3.6460059661915803E-2</v>
      </c>
      <c r="AD47" s="25">
        <f t="shared" si="4"/>
        <v>0.75422045680238337</v>
      </c>
    </row>
    <row r="48" spans="1:30" x14ac:dyDescent="0.2">
      <c r="A48" s="24" t="s">
        <v>169</v>
      </c>
      <c r="B48" s="12">
        <v>215.2599917720066</v>
      </c>
      <c r="C48" s="12">
        <v>-286.63221773206158</v>
      </c>
      <c r="D48" s="25">
        <v>0</v>
      </c>
      <c r="E48" s="25">
        <v>21.48</v>
      </c>
      <c r="F48" s="25">
        <v>10.98</v>
      </c>
      <c r="G48" s="25">
        <v>2.4300000000000002</v>
      </c>
      <c r="H48" s="25">
        <v>4.8500000000000001E-2</v>
      </c>
      <c r="I48" s="25">
        <v>0.1237</v>
      </c>
      <c r="J48" s="25">
        <v>37.65</v>
      </c>
      <c r="K48" s="25">
        <v>0</v>
      </c>
      <c r="L48" s="25">
        <v>24</v>
      </c>
      <c r="M48" s="25">
        <v>3.32</v>
      </c>
      <c r="N48" s="25">
        <v>100.0322</v>
      </c>
      <c r="O48" s="24">
        <v>0</v>
      </c>
      <c r="P48" s="24">
        <v>1.9950000000000001</v>
      </c>
      <c r="Q48" s="24">
        <v>0.92700000000000005</v>
      </c>
      <c r="R48" s="24">
        <v>0.16200000000000001</v>
      </c>
      <c r="S48" s="24">
        <v>7.4000000000000003E-3</v>
      </c>
      <c r="T48" s="24">
        <v>7.3000000000000001E-3</v>
      </c>
      <c r="U48" s="24">
        <v>2.9649999999999999</v>
      </c>
      <c r="V48" s="24">
        <v>0</v>
      </c>
      <c r="W48" s="24">
        <v>1.581</v>
      </c>
      <c r="X48" s="24">
        <v>0.38900000000000001</v>
      </c>
      <c r="Y48" s="24">
        <v>8.0336999999999996</v>
      </c>
      <c r="Z48" s="25">
        <f t="shared" si="0"/>
        <v>0.51683556717881651</v>
      </c>
      <c r="AA48" s="25">
        <f t="shared" si="1"/>
        <v>0.12716574043805165</v>
      </c>
      <c r="AB48" s="25">
        <f t="shared" si="2"/>
        <v>0.3030402092186989</v>
      </c>
      <c r="AC48" s="25">
        <f t="shared" si="3"/>
        <v>5.2958483164432822E-2</v>
      </c>
      <c r="AD48" s="25">
        <f t="shared" si="4"/>
        <v>0.80253807106598984</v>
      </c>
    </row>
    <row r="49" spans="1:30" x14ac:dyDescent="0.2">
      <c r="A49" s="24" t="s">
        <v>170</v>
      </c>
      <c r="B49" s="12">
        <v>250.70008206534573</v>
      </c>
      <c r="C49" s="12">
        <v>-251.19212743872248</v>
      </c>
      <c r="D49" s="25">
        <v>0</v>
      </c>
      <c r="E49" s="25">
        <v>21.04</v>
      </c>
      <c r="F49" s="25">
        <v>10.15</v>
      </c>
      <c r="G49" s="25">
        <v>2.12</v>
      </c>
      <c r="H49" s="25">
        <v>0</v>
      </c>
      <c r="I49" s="25">
        <v>0.15529999999999999</v>
      </c>
      <c r="J49" s="25">
        <v>37</v>
      </c>
      <c r="K49" s="25">
        <v>7.1000000000000004E-3</v>
      </c>
      <c r="L49" s="25">
        <v>23.78</v>
      </c>
      <c r="M49" s="25">
        <v>4.0599999999999996</v>
      </c>
      <c r="N49" s="25">
        <v>98.3125</v>
      </c>
      <c r="O49" s="24">
        <v>0</v>
      </c>
      <c r="P49" s="24">
        <v>1.9830000000000001</v>
      </c>
      <c r="Q49" s="24">
        <v>0.87</v>
      </c>
      <c r="R49" s="24">
        <v>0.14399999999999999</v>
      </c>
      <c r="S49" s="24">
        <v>0</v>
      </c>
      <c r="T49" s="24">
        <v>9.2999999999999992E-3</v>
      </c>
      <c r="U49" s="24">
        <v>2.9590000000000001</v>
      </c>
      <c r="V49" s="24">
        <v>6.9999999999999999E-4</v>
      </c>
      <c r="W49" s="24">
        <v>1.59</v>
      </c>
      <c r="X49" s="24">
        <v>0.48399999999999999</v>
      </c>
      <c r="Y49" s="24">
        <v>8.0401000000000007</v>
      </c>
      <c r="Z49" s="25">
        <f t="shared" si="0"/>
        <v>0.51489637305699487</v>
      </c>
      <c r="AA49" s="25">
        <f t="shared" si="1"/>
        <v>0.15673575129533679</v>
      </c>
      <c r="AB49" s="25">
        <f t="shared" si="2"/>
        <v>0.28173575129533679</v>
      </c>
      <c r="AC49" s="25">
        <f t="shared" si="3"/>
        <v>4.6632124352331598E-2</v>
      </c>
      <c r="AD49" s="25">
        <f t="shared" si="4"/>
        <v>0.76663452266152377</v>
      </c>
    </row>
    <row r="50" spans="1:30" x14ac:dyDescent="0.2">
      <c r="A50" s="24" t="s">
        <v>171</v>
      </c>
      <c r="B50" s="12">
        <v>287.59181555673598</v>
      </c>
      <c r="C50" s="12">
        <v>-214.3003939473322</v>
      </c>
      <c r="D50" s="25">
        <v>1.8599999999999998E-2</v>
      </c>
      <c r="E50" s="25">
        <v>22.36</v>
      </c>
      <c r="F50" s="25">
        <v>11.27</v>
      </c>
      <c r="G50" s="25">
        <v>2.2400000000000002</v>
      </c>
      <c r="H50" s="25">
        <v>2.9000000000000001E-2</v>
      </c>
      <c r="I50" s="25">
        <v>0.10730000000000001</v>
      </c>
      <c r="J50" s="25">
        <v>38.89</v>
      </c>
      <c r="K50" s="25">
        <v>0</v>
      </c>
      <c r="L50" s="25">
        <v>24.06</v>
      </c>
      <c r="M50" s="25">
        <v>2.63</v>
      </c>
      <c r="N50" s="25">
        <v>101.6048</v>
      </c>
      <c r="O50" s="24">
        <v>1.1000000000000001E-3</v>
      </c>
      <c r="P50" s="24">
        <v>2.0329999999999999</v>
      </c>
      <c r="Q50" s="24">
        <v>0.93100000000000005</v>
      </c>
      <c r="R50" s="24">
        <v>0.14599999999999999</v>
      </c>
      <c r="S50" s="24">
        <v>4.3E-3</v>
      </c>
      <c r="T50" s="24">
        <v>6.1999999999999998E-3</v>
      </c>
      <c r="U50" s="24">
        <v>3.0009999999999999</v>
      </c>
      <c r="V50" s="24">
        <v>0</v>
      </c>
      <c r="W50" s="24">
        <v>1.5529999999999999</v>
      </c>
      <c r="X50" s="24">
        <v>0.30199999999999999</v>
      </c>
      <c r="Y50" s="24">
        <v>7.9776999999999996</v>
      </c>
      <c r="Z50" s="25">
        <f t="shared" si="0"/>
        <v>0.52967257844474758</v>
      </c>
      <c r="AA50" s="25">
        <f t="shared" si="1"/>
        <v>0.10300136425648022</v>
      </c>
      <c r="AB50" s="25">
        <f t="shared" si="2"/>
        <v>0.31753069577080495</v>
      </c>
      <c r="AC50" s="25">
        <f t="shared" si="3"/>
        <v>4.9795361527967257E-2</v>
      </c>
      <c r="AD50" s="25">
        <f t="shared" si="4"/>
        <v>0.8371967654986523</v>
      </c>
    </row>
    <row r="51" spans="1:30" x14ac:dyDescent="0.2">
      <c r="A51" s="24" t="s">
        <v>172</v>
      </c>
      <c r="B51" s="12">
        <v>325.59181555673626</v>
      </c>
      <c r="C51" s="12">
        <v>-176.30039394733194</v>
      </c>
      <c r="D51" s="25">
        <v>0</v>
      </c>
      <c r="E51" s="25">
        <v>21.64</v>
      </c>
      <c r="F51" s="25">
        <v>11.42</v>
      </c>
      <c r="G51" s="25">
        <v>1.62</v>
      </c>
      <c r="H51" s="25">
        <v>2.41E-2</v>
      </c>
      <c r="I51" s="25">
        <v>0.1019</v>
      </c>
      <c r="J51" s="25">
        <v>37.5</v>
      </c>
      <c r="K51" s="25">
        <v>1.8E-3</v>
      </c>
      <c r="L51" s="25">
        <v>23.91</v>
      </c>
      <c r="M51" s="25">
        <v>3.62</v>
      </c>
      <c r="N51" s="25">
        <v>99.837900000000005</v>
      </c>
      <c r="O51" s="24">
        <v>0</v>
      </c>
      <c r="P51" s="24">
        <v>2.008</v>
      </c>
      <c r="Q51" s="24">
        <v>0.96299999999999997</v>
      </c>
      <c r="R51" s="24">
        <v>0.108</v>
      </c>
      <c r="S51" s="24">
        <v>3.7000000000000002E-3</v>
      </c>
      <c r="T51" s="24">
        <v>6.0000000000000001E-3</v>
      </c>
      <c r="U51" s="24">
        <v>2.952</v>
      </c>
      <c r="V51" s="24">
        <v>2.0000000000000001E-4</v>
      </c>
      <c r="W51" s="24">
        <v>1.5740000000000001</v>
      </c>
      <c r="X51" s="24">
        <v>0.42499999999999999</v>
      </c>
      <c r="Y51" s="24">
        <v>8.0398999999999994</v>
      </c>
      <c r="Z51" s="25">
        <f t="shared" si="0"/>
        <v>0.51270358306188923</v>
      </c>
      <c r="AA51" s="25">
        <f t="shared" si="1"/>
        <v>0.13843648208469053</v>
      </c>
      <c r="AB51" s="25">
        <f t="shared" si="2"/>
        <v>0.31368078175895764</v>
      </c>
      <c r="AC51" s="25">
        <f t="shared" si="3"/>
        <v>3.517915309446254E-2</v>
      </c>
      <c r="AD51" s="25">
        <f t="shared" si="4"/>
        <v>0.7873936968484242</v>
      </c>
    </row>
    <row r="52" spans="1:30" x14ac:dyDescent="0.2">
      <c r="A52" s="24" t="s">
        <v>173</v>
      </c>
      <c r="B52" s="12">
        <v>361.99236500314038</v>
      </c>
      <c r="C52" s="12">
        <v>-139.8998445009278</v>
      </c>
      <c r="D52" s="25">
        <v>5.8700000000000002E-2</v>
      </c>
      <c r="E52" s="25">
        <v>21.54</v>
      </c>
      <c r="F52" s="25">
        <v>9.8000000000000007</v>
      </c>
      <c r="G52" s="25">
        <v>0.75360000000000005</v>
      </c>
      <c r="H52" s="25">
        <v>5.5100000000000003E-2</v>
      </c>
      <c r="I52" s="25">
        <v>6.13E-2</v>
      </c>
      <c r="J52" s="25">
        <v>37.659999999999997</v>
      </c>
      <c r="K52" s="25">
        <v>0</v>
      </c>
      <c r="L52" s="25">
        <v>24.43</v>
      </c>
      <c r="M52" s="25">
        <v>4.92</v>
      </c>
      <c r="N52" s="25">
        <v>99.278700000000001</v>
      </c>
      <c r="O52" s="24">
        <v>3.7000000000000002E-3</v>
      </c>
      <c r="P52" s="24">
        <v>1.9970000000000001</v>
      </c>
      <c r="Q52" s="24">
        <v>0.82599999999999996</v>
      </c>
      <c r="R52" s="24">
        <v>5.0200000000000002E-2</v>
      </c>
      <c r="S52" s="24">
        <v>8.3999999999999995E-3</v>
      </c>
      <c r="T52" s="24">
        <v>3.5999999999999999E-3</v>
      </c>
      <c r="U52" s="24">
        <v>2.9630000000000001</v>
      </c>
      <c r="V52" s="24">
        <v>0</v>
      </c>
      <c r="W52" s="24">
        <v>1.607</v>
      </c>
      <c r="X52" s="24">
        <v>0.57799999999999996</v>
      </c>
      <c r="Y52" s="24">
        <v>8.0368999999999993</v>
      </c>
      <c r="Z52" s="25">
        <f t="shared" si="0"/>
        <v>0.52495753299359726</v>
      </c>
      <c r="AA52" s="25">
        <f t="shared" si="1"/>
        <v>0.18881484385208414</v>
      </c>
      <c r="AB52" s="25">
        <f t="shared" si="2"/>
        <v>0.26982882529726904</v>
      </c>
      <c r="AC52" s="25">
        <f t="shared" si="3"/>
        <v>1.6398797857049525E-2</v>
      </c>
      <c r="AD52" s="25">
        <f t="shared" si="4"/>
        <v>0.73546910755148742</v>
      </c>
    </row>
    <row r="53" spans="1:30" x14ac:dyDescent="0.2">
      <c r="A53" s="24" t="s">
        <v>174</v>
      </c>
      <c r="B53" s="12">
        <v>397.16337579328081</v>
      </c>
      <c r="C53" s="12">
        <v>-104.72883371078737</v>
      </c>
      <c r="D53" s="25">
        <v>0</v>
      </c>
      <c r="E53" s="25">
        <v>21.41</v>
      </c>
      <c r="F53" s="25">
        <v>10.31</v>
      </c>
      <c r="G53" s="25">
        <v>0.71809999999999996</v>
      </c>
      <c r="H53" s="25">
        <v>1.6799999999999999E-2</v>
      </c>
      <c r="I53" s="25">
        <v>5.3499999999999999E-2</v>
      </c>
      <c r="J53" s="25">
        <v>37.4</v>
      </c>
      <c r="K53" s="25">
        <v>0</v>
      </c>
      <c r="L53" s="25">
        <v>24.36</v>
      </c>
      <c r="M53" s="25">
        <v>4.8</v>
      </c>
      <c r="N53" s="25">
        <v>99.0685</v>
      </c>
      <c r="O53" s="24">
        <v>0</v>
      </c>
      <c r="P53" s="24">
        <v>1.994</v>
      </c>
      <c r="Q53" s="24">
        <v>0.873</v>
      </c>
      <c r="R53" s="24">
        <v>4.8000000000000001E-2</v>
      </c>
      <c r="S53" s="24">
        <v>2.5999999999999999E-3</v>
      </c>
      <c r="T53" s="24">
        <v>3.2000000000000002E-3</v>
      </c>
      <c r="U53" s="24">
        <v>2.9529999999999998</v>
      </c>
      <c r="V53" s="24">
        <v>0</v>
      </c>
      <c r="W53" s="24">
        <v>1.609</v>
      </c>
      <c r="X53" s="24">
        <v>0.56499999999999995</v>
      </c>
      <c r="Y53" s="24">
        <v>8.0478000000000005</v>
      </c>
      <c r="Z53" s="25">
        <f t="shared" si="0"/>
        <v>0.51987075928917614</v>
      </c>
      <c r="AA53" s="25">
        <f t="shared" si="1"/>
        <v>0.18255250403877221</v>
      </c>
      <c r="AB53" s="25">
        <f t="shared" si="2"/>
        <v>0.28206785137318252</v>
      </c>
      <c r="AC53" s="25">
        <f t="shared" si="3"/>
        <v>1.5508885298869143E-2</v>
      </c>
      <c r="AD53" s="25">
        <f t="shared" si="4"/>
        <v>0.74011039558417668</v>
      </c>
    </row>
    <row r="54" spans="1:30" x14ac:dyDescent="0.2">
      <c r="A54" s="24" t="s">
        <v>175</v>
      </c>
      <c r="B54" s="12">
        <v>433.56392523968105</v>
      </c>
      <c r="C54" s="12">
        <v>-68.328284264387136</v>
      </c>
      <c r="D54" s="25">
        <v>0</v>
      </c>
      <c r="E54" s="25">
        <v>23.15</v>
      </c>
      <c r="F54" s="25">
        <v>10.49</v>
      </c>
      <c r="G54" s="25">
        <v>0.58250000000000002</v>
      </c>
      <c r="H54" s="25">
        <v>3.0800000000000001E-2</v>
      </c>
      <c r="I54" s="25">
        <v>6.1600000000000002E-2</v>
      </c>
      <c r="J54" s="25">
        <v>39.770000000000003</v>
      </c>
      <c r="K54" s="25">
        <v>1.8E-3</v>
      </c>
      <c r="L54" s="25">
        <v>24.04</v>
      </c>
      <c r="M54" s="25">
        <v>4.38</v>
      </c>
      <c r="N54" s="25">
        <v>102.50660000000001</v>
      </c>
      <c r="O54" s="24">
        <v>0</v>
      </c>
      <c r="P54" s="24">
        <v>2.06</v>
      </c>
      <c r="Q54" s="24">
        <v>0.84899999999999998</v>
      </c>
      <c r="R54" s="24">
        <v>3.73E-2</v>
      </c>
      <c r="S54" s="24">
        <v>4.4999999999999997E-3</v>
      </c>
      <c r="T54" s="24">
        <v>3.5000000000000001E-3</v>
      </c>
      <c r="U54" s="24">
        <v>3.0030000000000001</v>
      </c>
      <c r="V54" s="24">
        <v>2.0000000000000001E-4</v>
      </c>
      <c r="W54" s="24">
        <v>1.518</v>
      </c>
      <c r="X54" s="24">
        <v>0.49199999999999999</v>
      </c>
      <c r="Y54" s="24">
        <v>7.9676</v>
      </c>
      <c r="Z54" s="25">
        <f t="shared" si="0"/>
        <v>0.52411697683251046</v>
      </c>
      <c r="AA54" s="25">
        <f t="shared" si="1"/>
        <v>0.16987190553464765</v>
      </c>
      <c r="AB54" s="25">
        <f t="shared" si="2"/>
        <v>0.29313261747747121</v>
      </c>
      <c r="AC54" s="25">
        <f t="shared" si="3"/>
        <v>1.2878500155370644E-2</v>
      </c>
      <c r="AD54" s="25">
        <f t="shared" si="4"/>
        <v>0.75522388059701506</v>
      </c>
    </row>
    <row r="55" spans="1:30" x14ac:dyDescent="0.2">
      <c r="A55" s="24" t="s">
        <v>176</v>
      </c>
      <c r="B55" s="12">
        <v>449.71941966108187</v>
      </c>
      <c r="C55" s="12">
        <v>-52.172789842986305</v>
      </c>
      <c r="D55" s="25">
        <v>0</v>
      </c>
      <c r="E55" s="25">
        <v>21.88</v>
      </c>
      <c r="F55" s="25">
        <v>10.47</v>
      </c>
      <c r="G55" s="25">
        <v>0.64319999999999999</v>
      </c>
      <c r="H55" s="25">
        <v>6.88E-2</v>
      </c>
      <c r="I55" s="25">
        <v>1.4200000000000001E-2</v>
      </c>
      <c r="J55" s="25">
        <v>37.659999999999997</v>
      </c>
      <c r="K55" s="25">
        <v>0</v>
      </c>
      <c r="L55" s="25">
        <v>23.43</v>
      </c>
      <c r="M55" s="25">
        <v>5.09</v>
      </c>
      <c r="N55" s="25">
        <v>99.256200000000007</v>
      </c>
      <c r="O55" s="24">
        <v>0</v>
      </c>
      <c r="P55" s="24">
        <v>2.0219999999999998</v>
      </c>
      <c r="Q55" s="24">
        <v>0.88</v>
      </c>
      <c r="R55" s="24">
        <v>4.2700000000000002E-2</v>
      </c>
      <c r="S55" s="24">
        <v>1.0500000000000001E-2</v>
      </c>
      <c r="T55" s="24">
        <v>8.0000000000000004E-4</v>
      </c>
      <c r="U55" s="24">
        <v>2.9529999999999998</v>
      </c>
      <c r="V55" s="24">
        <v>0</v>
      </c>
      <c r="W55" s="24">
        <v>1.5369999999999999</v>
      </c>
      <c r="X55" s="24">
        <v>0.59499999999999997</v>
      </c>
      <c r="Y55" s="24">
        <v>8.0410000000000004</v>
      </c>
      <c r="Z55" s="25">
        <f t="shared" si="0"/>
        <v>0.50315906635676177</v>
      </c>
      <c r="AA55" s="25">
        <f t="shared" si="1"/>
        <v>0.19478181163453043</v>
      </c>
      <c r="AB55" s="25">
        <f t="shared" si="2"/>
        <v>0.28808066258552401</v>
      </c>
      <c r="AC55" s="25">
        <f t="shared" si="3"/>
        <v>1.3978459423183948E-2</v>
      </c>
      <c r="AD55" s="25">
        <f t="shared" si="4"/>
        <v>0.72091932457786123</v>
      </c>
    </row>
    <row r="56" spans="1:30" x14ac:dyDescent="0.2">
      <c r="A56" s="24" t="s">
        <v>177</v>
      </c>
      <c r="B56" s="12">
        <v>501.89220950406821</v>
      </c>
      <c r="C56" s="12">
        <v>0</v>
      </c>
      <c r="D56" s="25">
        <v>0</v>
      </c>
      <c r="E56" s="25">
        <v>21.6</v>
      </c>
      <c r="F56" s="25">
        <v>7.47</v>
      </c>
      <c r="G56" s="25">
        <v>0.78580000000000005</v>
      </c>
      <c r="H56" s="25">
        <v>2.92E-2</v>
      </c>
      <c r="I56" s="25">
        <v>3.27E-2</v>
      </c>
      <c r="J56" s="25">
        <v>37.020000000000003</v>
      </c>
      <c r="K56" s="25">
        <v>0</v>
      </c>
      <c r="L56" s="25">
        <v>26.4</v>
      </c>
      <c r="M56" s="25">
        <v>5.37</v>
      </c>
      <c r="N56" s="25">
        <v>98.707800000000006</v>
      </c>
      <c r="O56" s="24">
        <v>0</v>
      </c>
      <c r="P56" s="24">
        <v>2.0219999999999998</v>
      </c>
      <c r="Q56" s="24">
        <v>0.63500000000000001</v>
      </c>
      <c r="R56" s="24">
        <v>5.2900000000000003E-2</v>
      </c>
      <c r="S56" s="24">
        <v>4.4999999999999997E-3</v>
      </c>
      <c r="T56" s="24">
        <v>2E-3</v>
      </c>
      <c r="U56" s="24">
        <v>2.9409999999999998</v>
      </c>
      <c r="V56" s="24">
        <v>0</v>
      </c>
      <c r="W56" s="24">
        <v>1.754</v>
      </c>
      <c r="X56" s="24">
        <v>0.63600000000000001</v>
      </c>
      <c r="Y56" s="24">
        <v>8.0473999999999997</v>
      </c>
      <c r="Z56" s="25">
        <f t="shared" si="0"/>
        <v>0.56986906657136349</v>
      </c>
      <c r="AA56" s="25">
        <f t="shared" si="1"/>
        <v>0.20663439358003829</v>
      </c>
      <c r="AB56" s="25">
        <f t="shared" si="2"/>
        <v>0.20630949673478671</v>
      </c>
      <c r="AC56" s="25">
        <f t="shared" si="3"/>
        <v>1.7187043113811366E-2</v>
      </c>
      <c r="AD56" s="25">
        <f t="shared" si="4"/>
        <v>0.73389121338912133</v>
      </c>
    </row>
    <row r="57" spans="1:30" x14ac:dyDescent="0.2"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25"/>
      <c r="Z57" s="25"/>
      <c r="AA57" s="25"/>
      <c r="AB57" s="25"/>
      <c r="AC57" s="25"/>
      <c r="AD57" s="25"/>
    </row>
    <row r="58" spans="1:30" x14ac:dyDescent="0.2">
      <c r="A58" s="24" t="s">
        <v>178</v>
      </c>
      <c r="B58" s="12">
        <v>0</v>
      </c>
      <c r="C58" s="12">
        <v>-1245.1931646298242</v>
      </c>
      <c r="D58" s="25">
        <v>3.6400000000000002E-2</v>
      </c>
      <c r="E58" s="25">
        <v>22.12</v>
      </c>
      <c r="F58" s="25">
        <v>10.35</v>
      </c>
      <c r="G58" s="25">
        <v>2.17</v>
      </c>
      <c r="H58" s="25">
        <v>6.0100000000000001E-2</v>
      </c>
      <c r="I58" s="25">
        <v>0.16880000000000001</v>
      </c>
      <c r="J58" s="25">
        <v>38.53</v>
      </c>
      <c r="K58" s="25">
        <v>0</v>
      </c>
      <c r="L58" s="25">
        <v>23.64</v>
      </c>
      <c r="M58" s="25">
        <v>4.1500000000000004</v>
      </c>
      <c r="N58" s="25">
        <v>101.2253</v>
      </c>
      <c r="O58" s="24">
        <v>2.2000000000000001E-3</v>
      </c>
      <c r="P58" s="24">
        <v>2.0129999999999999</v>
      </c>
      <c r="Q58" s="24">
        <v>0.85599999999999998</v>
      </c>
      <c r="R58" s="24">
        <v>0.14199999999999999</v>
      </c>
      <c r="S58" s="24">
        <v>8.9999999999999993E-3</v>
      </c>
      <c r="T58" s="24">
        <v>9.7999999999999997E-3</v>
      </c>
      <c r="U58" s="24">
        <v>2.9750000000000001</v>
      </c>
      <c r="V58" s="24">
        <v>0</v>
      </c>
      <c r="W58" s="24">
        <v>1.5269999999999999</v>
      </c>
      <c r="X58" s="24">
        <v>0.47799999999999998</v>
      </c>
      <c r="Y58" s="24">
        <v>8.0120000000000005</v>
      </c>
      <c r="Z58" s="25">
        <f t="shared" si="0"/>
        <v>0.50849150849150848</v>
      </c>
      <c r="AA58" s="25">
        <f t="shared" si="1"/>
        <v>0.1591741591741592</v>
      </c>
      <c r="AB58" s="25">
        <f t="shared" si="2"/>
        <v>0.28504828504828505</v>
      </c>
      <c r="AC58" s="25">
        <f t="shared" si="3"/>
        <v>4.7286047286047281E-2</v>
      </c>
      <c r="AD58" s="25">
        <f t="shared" si="4"/>
        <v>0.76159600997506238</v>
      </c>
    </row>
    <row r="59" spans="1:30" x14ac:dyDescent="0.2">
      <c r="A59" s="24" t="s">
        <v>179</v>
      </c>
      <c r="B59" s="12">
        <v>63.788713735265667</v>
      </c>
      <c r="C59" s="12">
        <v>-1181.4044508945585</v>
      </c>
      <c r="D59" s="25">
        <v>3.8999999999999998E-3</v>
      </c>
      <c r="E59" s="25">
        <v>22.16</v>
      </c>
      <c r="F59" s="25">
        <v>10.210000000000001</v>
      </c>
      <c r="G59" s="25">
        <v>1.55</v>
      </c>
      <c r="H59" s="25">
        <v>0</v>
      </c>
      <c r="I59" s="25">
        <v>0.1996</v>
      </c>
      <c r="J59" s="25">
        <v>38.54</v>
      </c>
      <c r="K59" s="25">
        <v>0</v>
      </c>
      <c r="L59" s="25">
        <v>23.98</v>
      </c>
      <c r="M59" s="25">
        <v>4.51</v>
      </c>
      <c r="N59" s="25">
        <v>101.1534</v>
      </c>
      <c r="O59" s="24">
        <v>2.0000000000000001E-4</v>
      </c>
      <c r="P59" s="24">
        <v>2.0139999999999998</v>
      </c>
      <c r="Q59" s="24">
        <v>0.84299999999999997</v>
      </c>
      <c r="R59" s="24">
        <v>0.10100000000000001</v>
      </c>
      <c r="S59" s="24">
        <v>0</v>
      </c>
      <c r="T59" s="24">
        <v>1.1599999999999999E-2</v>
      </c>
      <c r="U59" s="24">
        <v>2.972</v>
      </c>
      <c r="V59" s="24">
        <v>0</v>
      </c>
      <c r="W59" s="24">
        <v>1.5469999999999999</v>
      </c>
      <c r="X59" s="24">
        <v>0.51800000000000002</v>
      </c>
      <c r="Y59" s="24">
        <v>8.0068000000000001</v>
      </c>
      <c r="Z59" s="25">
        <f t="shared" si="0"/>
        <v>0.51412429378531077</v>
      </c>
      <c r="AA59" s="25">
        <f t="shared" si="1"/>
        <v>0.17215021601861086</v>
      </c>
      <c r="AB59" s="25">
        <f t="shared" si="2"/>
        <v>0.28015952143569295</v>
      </c>
      <c r="AC59" s="25">
        <f t="shared" si="3"/>
        <v>3.356596876038552E-2</v>
      </c>
      <c r="AD59" s="25">
        <f t="shared" si="4"/>
        <v>0.74915254237288131</v>
      </c>
    </row>
    <row r="60" spans="1:30" x14ac:dyDescent="0.2">
      <c r="A60" s="24" t="s">
        <v>180</v>
      </c>
      <c r="B60" s="12">
        <v>126.43853416597521</v>
      </c>
      <c r="C60" s="12">
        <v>-1118.754630463849</v>
      </c>
      <c r="D60" s="25">
        <v>0</v>
      </c>
      <c r="E60" s="25">
        <v>22.44</v>
      </c>
      <c r="F60" s="25">
        <v>9.4600000000000009</v>
      </c>
      <c r="G60" s="25">
        <v>1.1068</v>
      </c>
      <c r="H60" s="25">
        <v>0</v>
      </c>
      <c r="I60" s="25">
        <v>5.2699999999999997E-2</v>
      </c>
      <c r="J60" s="25">
        <v>38.35</v>
      </c>
      <c r="K60" s="25">
        <v>8.9999999999999998E-4</v>
      </c>
      <c r="L60" s="25">
        <v>24.66</v>
      </c>
      <c r="M60" s="25">
        <v>4.8099999999999996</v>
      </c>
      <c r="N60" s="25">
        <v>100.88030000000001</v>
      </c>
      <c r="O60" s="24">
        <v>0</v>
      </c>
      <c r="P60" s="24">
        <v>2.044</v>
      </c>
      <c r="Q60" s="24">
        <v>0.78300000000000003</v>
      </c>
      <c r="R60" s="24">
        <v>7.2400000000000006E-2</v>
      </c>
      <c r="S60" s="24">
        <v>0</v>
      </c>
      <c r="T60" s="24">
        <v>3.0999999999999999E-3</v>
      </c>
      <c r="U60" s="24">
        <v>2.9630000000000001</v>
      </c>
      <c r="V60" s="24">
        <v>1E-4</v>
      </c>
      <c r="W60" s="24">
        <v>1.593</v>
      </c>
      <c r="X60" s="24">
        <v>0.55400000000000005</v>
      </c>
      <c r="Y60" s="24">
        <v>8.0126000000000008</v>
      </c>
      <c r="Z60" s="25">
        <f t="shared" si="0"/>
        <v>0.53057553956834524</v>
      </c>
      <c r="AA60" s="25">
        <f t="shared" si="1"/>
        <v>0.18451905142552624</v>
      </c>
      <c r="AB60" s="25">
        <f t="shared" si="2"/>
        <v>0.26079136690647486</v>
      </c>
      <c r="AC60" s="25">
        <f t="shared" si="3"/>
        <v>2.4114042099653614E-2</v>
      </c>
      <c r="AD60" s="25">
        <f t="shared" si="4"/>
        <v>0.74196553330228221</v>
      </c>
    </row>
    <row r="61" spans="1:30" x14ac:dyDescent="0.2">
      <c r="A61" s="24" t="s">
        <v>181</v>
      </c>
      <c r="B61" s="12">
        <v>190.22724790124312</v>
      </c>
      <c r="C61" s="12">
        <v>-1054.9659167285811</v>
      </c>
      <c r="D61" s="25">
        <v>0</v>
      </c>
      <c r="E61" s="25">
        <v>22.08</v>
      </c>
      <c r="F61" s="25">
        <v>10.119999999999999</v>
      </c>
      <c r="G61" s="25">
        <v>0.85870000000000002</v>
      </c>
      <c r="H61" s="25">
        <v>1.2E-2</v>
      </c>
      <c r="I61" s="25">
        <v>8.8700000000000001E-2</v>
      </c>
      <c r="J61" s="25">
        <v>38.229999999999997</v>
      </c>
      <c r="K61" s="25">
        <v>1.2200000000000001E-2</v>
      </c>
      <c r="L61" s="25">
        <v>24.46</v>
      </c>
      <c r="M61" s="25">
        <v>4.7300000000000004</v>
      </c>
      <c r="N61" s="25">
        <v>100.5916</v>
      </c>
      <c r="O61" s="24">
        <v>0</v>
      </c>
      <c r="P61" s="24">
        <v>2.0190000000000001</v>
      </c>
      <c r="Q61" s="24">
        <v>0.84099999999999997</v>
      </c>
      <c r="R61" s="24">
        <v>5.6399999999999999E-2</v>
      </c>
      <c r="S61" s="24">
        <v>1.8E-3</v>
      </c>
      <c r="T61" s="24">
        <v>5.1999999999999998E-3</v>
      </c>
      <c r="U61" s="24">
        <v>2.9649999999999999</v>
      </c>
      <c r="V61" s="24">
        <v>1.1999999999999999E-3</v>
      </c>
      <c r="W61" s="24">
        <v>1.587</v>
      </c>
      <c r="X61" s="24">
        <v>0.54700000000000004</v>
      </c>
      <c r="Y61" s="24">
        <v>8.0236999999999998</v>
      </c>
      <c r="Z61" s="25">
        <f t="shared" si="0"/>
        <v>0.5235204855842186</v>
      </c>
      <c r="AA61" s="25">
        <f t="shared" si="1"/>
        <v>0.18044467902619254</v>
      </c>
      <c r="AB61" s="25">
        <f t="shared" si="2"/>
        <v>0.27742957049548062</v>
      </c>
      <c r="AC61" s="25">
        <f t="shared" si="3"/>
        <v>1.8605264894108332E-2</v>
      </c>
      <c r="AD61" s="25">
        <f t="shared" si="4"/>
        <v>0.74367385192127466</v>
      </c>
    </row>
    <row r="62" spans="1:30" x14ac:dyDescent="0.2">
      <c r="A62" s="24" t="s">
        <v>182</v>
      </c>
      <c r="B62" s="12">
        <v>254.01596163651453</v>
      </c>
      <c r="C62" s="12">
        <v>-991.17720299330972</v>
      </c>
      <c r="D62" s="25">
        <v>0</v>
      </c>
      <c r="E62" s="25">
        <v>22.03</v>
      </c>
      <c r="F62" s="25">
        <v>10.06</v>
      </c>
      <c r="G62" s="25">
        <v>0.77090000000000003</v>
      </c>
      <c r="H62" s="25">
        <v>0</v>
      </c>
      <c r="I62" s="25">
        <v>0.13819999999999999</v>
      </c>
      <c r="J62" s="25">
        <v>38.33</v>
      </c>
      <c r="K62" s="25">
        <v>3.0000000000000001E-3</v>
      </c>
      <c r="L62" s="25">
        <v>24.57</v>
      </c>
      <c r="M62" s="25">
        <v>4.83</v>
      </c>
      <c r="N62" s="25">
        <v>100.732</v>
      </c>
      <c r="O62" s="24">
        <v>0</v>
      </c>
      <c r="P62" s="24">
        <v>2.0099999999999998</v>
      </c>
      <c r="Q62" s="24">
        <v>0.83399999999999996</v>
      </c>
      <c r="R62" s="24">
        <v>5.0599999999999999E-2</v>
      </c>
      <c r="S62" s="24">
        <v>0</v>
      </c>
      <c r="T62" s="24">
        <v>8.0000000000000002E-3</v>
      </c>
      <c r="U62" s="24">
        <v>2.968</v>
      </c>
      <c r="V62" s="24">
        <v>2.9999999999999997E-4</v>
      </c>
      <c r="W62" s="24">
        <v>1.591</v>
      </c>
      <c r="X62" s="24">
        <v>0.55800000000000005</v>
      </c>
      <c r="Y62" s="24">
        <v>8.0198999999999998</v>
      </c>
      <c r="Z62" s="25">
        <f t="shared" si="0"/>
        <v>0.52445938818565396</v>
      </c>
      <c r="AA62" s="25">
        <f t="shared" si="1"/>
        <v>0.18393987341772153</v>
      </c>
      <c r="AB62" s="25">
        <f t="shared" si="2"/>
        <v>0.27492088607594939</v>
      </c>
      <c r="AC62" s="25">
        <f t="shared" si="3"/>
        <v>1.6679852320675106E-2</v>
      </c>
      <c r="AD62" s="25">
        <f t="shared" si="4"/>
        <v>0.74034434620753842</v>
      </c>
    </row>
    <row r="63" spans="1:30" x14ac:dyDescent="0.2">
      <c r="A63" s="24" t="s">
        <v>183</v>
      </c>
      <c r="B63" s="12">
        <v>330.02254029915082</v>
      </c>
      <c r="C63" s="12">
        <v>-915.17062433067338</v>
      </c>
      <c r="D63" s="25">
        <v>0</v>
      </c>
      <c r="E63" s="25">
        <v>21.89</v>
      </c>
      <c r="F63" s="25">
        <v>10.220000000000001</v>
      </c>
      <c r="G63" s="25">
        <v>0.72570000000000001</v>
      </c>
      <c r="H63" s="25">
        <v>2.3800000000000002E-2</v>
      </c>
      <c r="I63" s="25">
        <v>0.13550000000000001</v>
      </c>
      <c r="J63" s="25">
        <v>38.46</v>
      </c>
      <c r="K63" s="25">
        <v>0</v>
      </c>
      <c r="L63" s="25">
        <v>24.13</v>
      </c>
      <c r="M63" s="25">
        <v>4.82</v>
      </c>
      <c r="N63" s="25">
        <v>100.4049</v>
      </c>
      <c r="O63" s="24">
        <v>0</v>
      </c>
      <c r="P63" s="24">
        <v>2</v>
      </c>
      <c r="Q63" s="24">
        <v>0.84899999999999998</v>
      </c>
      <c r="R63" s="24">
        <v>4.7699999999999999E-2</v>
      </c>
      <c r="S63" s="24">
        <v>3.5999999999999999E-3</v>
      </c>
      <c r="T63" s="24">
        <v>7.9000000000000008E-3</v>
      </c>
      <c r="U63" s="24">
        <v>2.9820000000000002</v>
      </c>
      <c r="V63" s="24">
        <v>0</v>
      </c>
      <c r="W63" s="24">
        <v>1.5649999999999999</v>
      </c>
      <c r="X63" s="24">
        <v>0.55700000000000005</v>
      </c>
      <c r="Y63" s="24">
        <v>8.0122</v>
      </c>
      <c r="Z63" s="25">
        <f t="shared" si="0"/>
        <v>0.51843508795176729</v>
      </c>
      <c r="AA63" s="25">
        <f t="shared" si="1"/>
        <v>0.1845165137310763</v>
      </c>
      <c r="AB63" s="25">
        <f t="shared" si="2"/>
        <v>0.2812468943584987</v>
      </c>
      <c r="AC63" s="25">
        <f t="shared" si="3"/>
        <v>1.58015039586577E-2</v>
      </c>
      <c r="AD63" s="25">
        <f t="shared" si="4"/>
        <v>0.73751178133836004</v>
      </c>
    </row>
    <row r="64" spans="1:30" x14ac:dyDescent="0.2">
      <c r="A64" s="24" t="s">
        <v>184</v>
      </c>
      <c r="B64" s="12">
        <v>383.16386132149739</v>
      </c>
      <c r="C64" s="12">
        <v>-862.0293033083268</v>
      </c>
      <c r="D64" s="25">
        <v>0</v>
      </c>
      <c r="E64" s="25">
        <v>21.94</v>
      </c>
      <c r="F64" s="25">
        <v>9.5500000000000007</v>
      </c>
      <c r="G64" s="25">
        <v>0.71389999999999998</v>
      </c>
      <c r="H64" s="25">
        <v>4.5499999999999999E-2</v>
      </c>
      <c r="I64" s="25">
        <v>0.11990000000000001</v>
      </c>
      <c r="J64" s="25">
        <v>38.54</v>
      </c>
      <c r="K64" s="25">
        <v>0</v>
      </c>
      <c r="L64" s="25">
        <v>24.84</v>
      </c>
      <c r="M64" s="25">
        <v>5.05</v>
      </c>
      <c r="N64" s="25">
        <v>100.7992</v>
      </c>
      <c r="O64" s="24">
        <v>0</v>
      </c>
      <c r="P64" s="24">
        <v>1.9990000000000001</v>
      </c>
      <c r="Q64" s="24">
        <v>0.79100000000000004</v>
      </c>
      <c r="R64" s="24">
        <v>4.6699999999999998E-2</v>
      </c>
      <c r="S64" s="24">
        <v>6.7999999999999996E-3</v>
      </c>
      <c r="T64" s="24">
        <v>7.0000000000000001E-3</v>
      </c>
      <c r="U64" s="24">
        <v>2.98</v>
      </c>
      <c r="V64" s="24">
        <v>0</v>
      </c>
      <c r="W64" s="24">
        <v>1.6060000000000001</v>
      </c>
      <c r="X64" s="24">
        <v>0.58199999999999996</v>
      </c>
      <c r="Y64" s="24">
        <v>8.0184999999999995</v>
      </c>
      <c r="Z64" s="25">
        <f t="shared" si="0"/>
        <v>0.53078626433552567</v>
      </c>
      <c r="AA64" s="25">
        <f t="shared" si="1"/>
        <v>0.19235218296592521</v>
      </c>
      <c r="AB64" s="25">
        <f t="shared" si="2"/>
        <v>0.26142710777671285</v>
      </c>
      <c r="AC64" s="25">
        <f t="shared" si="3"/>
        <v>1.5434444921836269E-2</v>
      </c>
      <c r="AD64" s="25">
        <f t="shared" si="4"/>
        <v>0.73400365630712983</v>
      </c>
    </row>
    <row r="65" spans="1:30" x14ac:dyDescent="0.2">
      <c r="A65" s="24" t="s">
        <v>185</v>
      </c>
      <c r="B65" s="12">
        <v>446.95257505676881</v>
      </c>
      <c r="C65" s="12">
        <v>-798.24058957305544</v>
      </c>
      <c r="D65" s="25">
        <v>0</v>
      </c>
      <c r="E65" s="25">
        <v>22.17</v>
      </c>
      <c r="F65" s="25">
        <v>10.23</v>
      </c>
      <c r="G65" s="25">
        <v>0.68149999999999999</v>
      </c>
      <c r="H65" s="25">
        <v>2.3900000000000001E-2</v>
      </c>
      <c r="I65" s="25">
        <v>0.16270000000000001</v>
      </c>
      <c r="J65" s="25">
        <v>38.61</v>
      </c>
      <c r="K65" s="25">
        <v>4.4999999999999997E-3</v>
      </c>
      <c r="L65" s="25">
        <v>24.37</v>
      </c>
      <c r="M65" s="25">
        <v>4.74</v>
      </c>
      <c r="N65" s="25">
        <v>100.99250000000001</v>
      </c>
      <c r="O65" s="24">
        <v>0</v>
      </c>
      <c r="P65" s="24">
        <v>2.0150000000000001</v>
      </c>
      <c r="Q65" s="24">
        <v>0.84499999999999997</v>
      </c>
      <c r="R65" s="24">
        <v>4.4499999999999998E-2</v>
      </c>
      <c r="S65" s="24">
        <v>3.5999999999999999E-3</v>
      </c>
      <c r="T65" s="24">
        <v>9.4000000000000004E-3</v>
      </c>
      <c r="U65" s="24">
        <v>2.976</v>
      </c>
      <c r="V65" s="24">
        <v>4.0000000000000002E-4</v>
      </c>
      <c r="W65" s="24">
        <v>1.571</v>
      </c>
      <c r="X65" s="24">
        <v>0.54500000000000004</v>
      </c>
      <c r="Y65" s="24">
        <v>8.0099</v>
      </c>
      <c r="Z65" s="25">
        <f t="shared" si="0"/>
        <v>0.52270836799201459</v>
      </c>
      <c r="AA65" s="25">
        <f t="shared" si="1"/>
        <v>0.18133422059557477</v>
      </c>
      <c r="AB65" s="25">
        <f t="shared" si="2"/>
        <v>0.28115122275827653</v>
      </c>
      <c r="AC65" s="25">
        <f t="shared" si="3"/>
        <v>1.4806188654134089E-2</v>
      </c>
      <c r="AD65" s="25">
        <f t="shared" si="4"/>
        <v>0.74243856332703206</v>
      </c>
    </row>
    <row r="66" spans="1:30" x14ac:dyDescent="0.2">
      <c r="A66" s="24" t="s">
        <v>186</v>
      </c>
      <c r="B66" s="12">
        <v>522.7219620148262</v>
      </c>
      <c r="C66" s="12">
        <v>-722.47120261499811</v>
      </c>
      <c r="D66" s="25">
        <v>0</v>
      </c>
      <c r="E66" s="25">
        <v>22.26</v>
      </c>
      <c r="F66" s="25">
        <v>9.92</v>
      </c>
      <c r="G66" s="25">
        <v>0.68289999999999995</v>
      </c>
      <c r="H66" s="25">
        <v>2.3999999999999998E-3</v>
      </c>
      <c r="I66" s="25">
        <v>0.1308</v>
      </c>
      <c r="J66" s="25">
        <v>38.64</v>
      </c>
      <c r="K66" s="25">
        <v>0</v>
      </c>
      <c r="L66" s="25">
        <v>24.43</v>
      </c>
      <c r="M66" s="25">
        <v>4.87</v>
      </c>
      <c r="N66" s="25">
        <v>100.93600000000001</v>
      </c>
      <c r="O66" s="24">
        <v>0</v>
      </c>
      <c r="P66" s="24">
        <v>2.0209999999999999</v>
      </c>
      <c r="Q66" s="24">
        <v>0.81899999999999995</v>
      </c>
      <c r="R66" s="24">
        <v>4.4600000000000001E-2</v>
      </c>
      <c r="S66" s="24">
        <v>4.0000000000000002E-4</v>
      </c>
      <c r="T66" s="24">
        <v>7.6E-3</v>
      </c>
      <c r="U66" s="24">
        <v>2.9769999999999999</v>
      </c>
      <c r="V66" s="24">
        <v>0</v>
      </c>
      <c r="W66" s="24">
        <v>1.575</v>
      </c>
      <c r="X66" s="24">
        <v>0.56000000000000005</v>
      </c>
      <c r="Y66" s="24">
        <v>8.0046999999999997</v>
      </c>
      <c r="Z66" s="25">
        <f t="shared" si="0"/>
        <v>0.52524511438671384</v>
      </c>
      <c r="AA66" s="25">
        <f t="shared" si="1"/>
        <v>0.18675381844860939</v>
      </c>
      <c r="AB66" s="25">
        <f t="shared" si="2"/>
        <v>0.27312745948109113</v>
      </c>
      <c r="AC66" s="25">
        <f t="shared" si="3"/>
        <v>1.4873607683585673E-2</v>
      </c>
      <c r="AD66" s="25">
        <f t="shared" si="4"/>
        <v>0.73770491803278693</v>
      </c>
    </row>
    <row r="67" spans="1:30" x14ac:dyDescent="0.2">
      <c r="A67" s="24" t="s">
        <v>187</v>
      </c>
      <c r="B67" s="12">
        <v>596.47831767315927</v>
      </c>
      <c r="C67" s="12">
        <v>-648.71484695666504</v>
      </c>
      <c r="D67" s="25">
        <v>0</v>
      </c>
      <c r="E67" s="25">
        <v>22.05</v>
      </c>
      <c r="F67" s="25">
        <v>10.29</v>
      </c>
      <c r="G67" s="25">
        <v>0.69379999999999997</v>
      </c>
      <c r="H67" s="25">
        <v>1.43E-2</v>
      </c>
      <c r="I67" s="25">
        <v>0.19</v>
      </c>
      <c r="J67" s="25">
        <v>38.51</v>
      </c>
      <c r="K67" s="25">
        <v>0</v>
      </c>
      <c r="L67" s="25">
        <v>24.23</v>
      </c>
      <c r="M67" s="25">
        <v>4.7</v>
      </c>
      <c r="N67" s="25">
        <v>100.678</v>
      </c>
      <c r="O67" s="24">
        <v>0</v>
      </c>
      <c r="P67" s="24">
        <v>2.0099999999999998</v>
      </c>
      <c r="Q67" s="24">
        <v>0.85199999999999998</v>
      </c>
      <c r="R67" s="24">
        <v>4.5400000000000003E-2</v>
      </c>
      <c r="S67" s="24">
        <v>2.0999999999999999E-3</v>
      </c>
      <c r="T67" s="24">
        <v>1.11E-2</v>
      </c>
      <c r="U67" s="24">
        <v>2.9780000000000002</v>
      </c>
      <c r="V67" s="24">
        <v>0</v>
      </c>
      <c r="W67" s="24">
        <v>1.5669999999999999</v>
      </c>
      <c r="X67" s="24">
        <v>0.54200000000000004</v>
      </c>
      <c r="Y67" s="24">
        <v>8.0076000000000001</v>
      </c>
      <c r="Z67" s="25">
        <f t="shared" si="0"/>
        <v>0.52122139435870152</v>
      </c>
      <c r="AA67" s="25">
        <f t="shared" si="1"/>
        <v>0.1802820649281533</v>
      </c>
      <c r="AB67" s="25">
        <f t="shared" si="2"/>
        <v>0.28339542309739219</v>
      </c>
      <c r="AC67" s="25">
        <f t="shared" si="3"/>
        <v>1.510111761575306E-2</v>
      </c>
      <c r="AD67" s="25">
        <f t="shared" si="4"/>
        <v>0.7430061640587956</v>
      </c>
    </row>
    <row r="68" spans="1:30" x14ac:dyDescent="0.2">
      <c r="A68" s="24" t="s">
        <v>188</v>
      </c>
      <c r="B68" s="12">
        <v>659.41479358340132</v>
      </c>
      <c r="C68" s="12">
        <v>-585.77837104642299</v>
      </c>
      <c r="D68" s="25">
        <v>0</v>
      </c>
      <c r="E68" s="25">
        <v>22.2</v>
      </c>
      <c r="F68" s="25">
        <v>9.8800000000000008</v>
      </c>
      <c r="G68" s="25">
        <v>0.65720000000000001</v>
      </c>
      <c r="H68" s="25">
        <v>1.67E-2</v>
      </c>
      <c r="I68" s="25">
        <v>0.1205</v>
      </c>
      <c r="J68" s="25">
        <v>38.54</v>
      </c>
      <c r="K68" s="25">
        <v>0</v>
      </c>
      <c r="L68" s="25">
        <v>24.7</v>
      </c>
      <c r="M68" s="25">
        <v>4.87</v>
      </c>
      <c r="N68" s="25">
        <v>100.9843</v>
      </c>
      <c r="O68" s="24">
        <v>0</v>
      </c>
      <c r="P68" s="24">
        <v>2.0179999999999998</v>
      </c>
      <c r="Q68" s="24">
        <v>0.81699999999999995</v>
      </c>
      <c r="R68" s="24">
        <v>4.2900000000000001E-2</v>
      </c>
      <c r="S68" s="24">
        <v>2.5000000000000001E-3</v>
      </c>
      <c r="T68" s="24">
        <v>7.0000000000000001E-3</v>
      </c>
      <c r="U68" s="24">
        <v>2.9729999999999999</v>
      </c>
      <c r="V68" s="24">
        <v>0</v>
      </c>
      <c r="W68" s="24">
        <v>1.593</v>
      </c>
      <c r="X68" s="24">
        <v>0.56000000000000005</v>
      </c>
      <c r="Y68" s="24">
        <v>8.0134000000000007</v>
      </c>
      <c r="Z68" s="25">
        <f t="shared" si="0"/>
        <v>0.52872647615254398</v>
      </c>
      <c r="AA68" s="25">
        <f t="shared" si="1"/>
        <v>0.18586743668890437</v>
      </c>
      <c r="AB68" s="25">
        <f t="shared" si="2"/>
        <v>0.27116731388363369</v>
      </c>
      <c r="AC68" s="25">
        <f t="shared" si="3"/>
        <v>1.4238773274917852E-2</v>
      </c>
      <c r="AD68" s="25">
        <f t="shared" si="4"/>
        <v>0.7398978169995355</v>
      </c>
    </row>
    <row r="69" spans="1:30" x14ac:dyDescent="0.2">
      <c r="A69" s="24" t="s">
        <v>189</v>
      </c>
      <c r="B69" s="12">
        <v>741.29885796713802</v>
      </c>
      <c r="C69" s="12">
        <v>-503.89430666268635</v>
      </c>
      <c r="D69" s="25">
        <v>8.3000000000000001E-3</v>
      </c>
      <c r="E69" s="25">
        <v>22.31</v>
      </c>
      <c r="F69" s="25">
        <v>9.25</v>
      </c>
      <c r="G69" s="25">
        <v>0.72509999999999997</v>
      </c>
      <c r="H69" s="25">
        <v>0</v>
      </c>
      <c r="I69" s="25">
        <v>7.1499999999999994E-2</v>
      </c>
      <c r="J69" s="25">
        <v>38.42</v>
      </c>
      <c r="K69" s="25">
        <v>0</v>
      </c>
      <c r="L69" s="25">
        <v>25.49</v>
      </c>
      <c r="M69" s="25">
        <v>4.8899999999999997</v>
      </c>
      <c r="N69" s="25">
        <v>101.1648</v>
      </c>
      <c r="O69" s="24">
        <v>5.0000000000000001E-4</v>
      </c>
      <c r="P69" s="24">
        <v>2.0289999999999999</v>
      </c>
      <c r="Q69" s="24">
        <v>0.76500000000000001</v>
      </c>
      <c r="R69" s="24">
        <v>4.7399999999999998E-2</v>
      </c>
      <c r="S69" s="24">
        <v>0</v>
      </c>
      <c r="T69" s="24">
        <v>4.1000000000000003E-3</v>
      </c>
      <c r="U69" s="24">
        <v>2.964</v>
      </c>
      <c r="V69" s="24">
        <v>0</v>
      </c>
      <c r="W69" s="24">
        <v>1.645</v>
      </c>
      <c r="X69" s="24">
        <v>0.56299999999999994</v>
      </c>
      <c r="Y69" s="24">
        <v>8.0180000000000007</v>
      </c>
      <c r="Z69" s="25">
        <f t="shared" si="0"/>
        <v>0.5446298503509468</v>
      </c>
      <c r="AA69" s="25">
        <f t="shared" si="1"/>
        <v>0.18639915243014166</v>
      </c>
      <c r="AB69" s="25">
        <f t="shared" si="2"/>
        <v>0.25327771156138262</v>
      </c>
      <c r="AC69" s="25">
        <f t="shared" si="3"/>
        <v>1.5693285657528807E-2</v>
      </c>
      <c r="AD69" s="25">
        <f t="shared" si="4"/>
        <v>0.74501811594202894</v>
      </c>
    </row>
    <row r="70" spans="1:30" x14ac:dyDescent="0.2">
      <c r="A70" s="24" t="s">
        <v>190</v>
      </c>
      <c r="B70" s="12">
        <v>794.10037309691506</v>
      </c>
      <c r="C70" s="12">
        <v>-451.09279153290925</v>
      </c>
      <c r="D70" s="25">
        <v>0</v>
      </c>
      <c r="E70" s="25">
        <v>22.4</v>
      </c>
      <c r="F70" s="25">
        <v>10.210000000000001</v>
      </c>
      <c r="G70" s="25">
        <v>0.67610000000000003</v>
      </c>
      <c r="H70" s="25">
        <v>0</v>
      </c>
      <c r="I70" s="25">
        <v>3.4099999999999998E-2</v>
      </c>
      <c r="J70" s="25">
        <v>38.65</v>
      </c>
      <c r="K70" s="25">
        <v>0</v>
      </c>
      <c r="L70" s="25">
        <v>24.43</v>
      </c>
      <c r="M70" s="25">
        <v>4.6399999999999997</v>
      </c>
      <c r="N70" s="25">
        <v>101.0401</v>
      </c>
      <c r="O70" s="24">
        <v>0</v>
      </c>
      <c r="P70" s="24">
        <v>2.0329999999999999</v>
      </c>
      <c r="Q70" s="24">
        <v>0.84299999999999997</v>
      </c>
      <c r="R70" s="24">
        <v>4.41E-2</v>
      </c>
      <c r="S70" s="24">
        <v>0</v>
      </c>
      <c r="T70" s="24">
        <v>2E-3</v>
      </c>
      <c r="U70" s="24">
        <v>2.9769999999999999</v>
      </c>
      <c r="V70" s="24">
        <v>0</v>
      </c>
      <c r="W70" s="24">
        <v>1.5740000000000001</v>
      </c>
      <c r="X70" s="24">
        <v>0.53300000000000003</v>
      </c>
      <c r="Y70" s="24">
        <v>8.0061</v>
      </c>
      <c r="Z70" s="25">
        <f t="shared" si="0"/>
        <v>0.5257005444039945</v>
      </c>
      <c r="AA70" s="25">
        <f t="shared" si="1"/>
        <v>0.17801676630707058</v>
      </c>
      <c r="AB70" s="25">
        <f t="shared" si="2"/>
        <v>0.28155372232056375</v>
      </c>
      <c r="AC70" s="25">
        <f t="shared" si="3"/>
        <v>1.4728966968371129E-2</v>
      </c>
      <c r="AD70" s="25">
        <f t="shared" si="4"/>
        <v>0.74703369719981016</v>
      </c>
    </row>
    <row r="71" spans="1:30" x14ac:dyDescent="0.2">
      <c r="A71" s="24" t="s">
        <v>191</v>
      </c>
      <c r="B71" s="12">
        <v>864.16462931932881</v>
      </c>
      <c r="C71" s="12">
        <v>-381.0285353104955</v>
      </c>
      <c r="D71" s="25">
        <v>1.5599999999999999E-2</v>
      </c>
      <c r="E71" s="25">
        <v>22.2</v>
      </c>
      <c r="F71" s="25">
        <v>10.17</v>
      </c>
      <c r="G71" s="25">
        <v>0.64780000000000004</v>
      </c>
      <c r="H71" s="25">
        <v>0</v>
      </c>
      <c r="I71" s="25">
        <v>6.2E-2</v>
      </c>
      <c r="J71" s="25">
        <v>38.36</v>
      </c>
      <c r="K71" s="25">
        <v>1.1299999999999999E-2</v>
      </c>
      <c r="L71" s="25">
        <v>24.88</v>
      </c>
      <c r="M71" s="25">
        <v>4.78</v>
      </c>
      <c r="N71" s="25">
        <v>101.1266</v>
      </c>
      <c r="O71" s="24">
        <v>1E-3</v>
      </c>
      <c r="P71" s="24">
        <v>2.02</v>
      </c>
      <c r="Q71" s="24">
        <v>0.84099999999999997</v>
      </c>
      <c r="R71" s="24">
        <v>4.24E-2</v>
      </c>
      <c r="S71" s="24">
        <v>0</v>
      </c>
      <c r="T71" s="24">
        <v>3.5999999999999999E-3</v>
      </c>
      <c r="U71" s="24">
        <v>2.9609999999999999</v>
      </c>
      <c r="V71" s="24">
        <v>1.1000000000000001E-3</v>
      </c>
      <c r="W71" s="24">
        <v>1.6060000000000001</v>
      </c>
      <c r="X71" s="24">
        <v>0.55000000000000004</v>
      </c>
      <c r="Y71" s="24">
        <v>8.0260999999999996</v>
      </c>
      <c r="Z71" s="25">
        <f t="shared" si="0"/>
        <v>0.52839376192669596</v>
      </c>
      <c r="AA71" s="25">
        <f t="shared" si="1"/>
        <v>0.18095676778311506</v>
      </c>
      <c r="AB71" s="25">
        <f t="shared" si="2"/>
        <v>0.27669934855563599</v>
      </c>
      <c r="AC71" s="25">
        <f t="shared" si="3"/>
        <v>1.3950121734552874E-2</v>
      </c>
      <c r="AD71" s="25">
        <f t="shared" si="4"/>
        <v>0.74489795918367352</v>
      </c>
    </row>
    <row r="72" spans="1:30" x14ac:dyDescent="0.2">
      <c r="A72" s="24" t="s">
        <v>192</v>
      </c>
      <c r="B72" s="12">
        <v>924.33106514529186</v>
      </c>
      <c r="C72" s="12">
        <v>-320.86209948453251</v>
      </c>
      <c r="D72" s="25">
        <v>0.01</v>
      </c>
      <c r="E72" s="25">
        <v>22.35</v>
      </c>
      <c r="F72" s="25">
        <v>10.14</v>
      </c>
      <c r="G72" s="25">
        <v>0.59079999999999999</v>
      </c>
      <c r="H72" s="25">
        <v>0</v>
      </c>
      <c r="I72" s="25">
        <v>2.2200000000000001E-2</v>
      </c>
      <c r="J72" s="25">
        <v>38.43</v>
      </c>
      <c r="K72" s="25">
        <v>0</v>
      </c>
      <c r="L72" s="25">
        <v>24.3</v>
      </c>
      <c r="M72" s="25">
        <v>4.87</v>
      </c>
      <c r="N72" s="25">
        <v>100.71299999999999</v>
      </c>
      <c r="O72" s="24">
        <v>5.9999999999999995E-4</v>
      </c>
      <c r="P72" s="24">
        <v>2.0350000000000001</v>
      </c>
      <c r="Q72" s="24">
        <v>0.83899999999999997</v>
      </c>
      <c r="R72" s="24">
        <v>3.8699999999999998E-2</v>
      </c>
      <c r="S72" s="24">
        <v>0</v>
      </c>
      <c r="T72" s="24">
        <v>1.2999999999999999E-3</v>
      </c>
      <c r="U72" s="24">
        <v>2.968</v>
      </c>
      <c r="V72" s="24">
        <v>0</v>
      </c>
      <c r="W72" s="24">
        <v>1.57</v>
      </c>
      <c r="X72" s="24">
        <v>0.56100000000000005</v>
      </c>
      <c r="Y72" s="24">
        <v>8.0136000000000003</v>
      </c>
      <c r="Z72" s="25">
        <f t="shared" si="0"/>
        <v>0.52182005517333063</v>
      </c>
      <c r="AA72" s="25">
        <f t="shared" si="1"/>
        <v>0.18645926812244493</v>
      </c>
      <c r="AB72" s="25">
        <f t="shared" si="2"/>
        <v>0.27885797852893274</v>
      </c>
      <c r="AC72" s="25">
        <f t="shared" si="3"/>
        <v>1.2862698175291653E-2</v>
      </c>
      <c r="AD72" s="25">
        <f t="shared" si="4"/>
        <v>0.73674331299859219</v>
      </c>
    </row>
    <row r="73" spans="1:30" x14ac:dyDescent="0.2">
      <c r="A73" s="24" t="s">
        <v>193</v>
      </c>
      <c r="B73" s="12">
        <v>988.11977888055981</v>
      </c>
      <c r="C73" s="12">
        <v>-257.07338574926462</v>
      </c>
      <c r="D73" s="25">
        <v>7.4300000000000005E-2</v>
      </c>
      <c r="E73" s="25">
        <v>22.17</v>
      </c>
      <c r="F73" s="25">
        <v>9.9</v>
      </c>
      <c r="G73" s="25">
        <v>0.65369999999999995</v>
      </c>
      <c r="H73" s="25">
        <v>0</v>
      </c>
      <c r="I73" s="25">
        <v>1.6999999999999999E-3</v>
      </c>
      <c r="J73" s="25">
        <v>38.42</v>
      </c>
      <c r="K73" s="25">
        <v>5.1000000000000004E-3</v>
      </c>
      <c r="L73" s="25">
        <v>24.61</v>
      </c>
      <c r="M73" s="25">
        <v>4.84</v>
      </c>
      <c r="N73" s="25">
        <v>100.6748</v>
      </c>
      <c r="O73" s="24">
        <v>4.4999999999999997E-3</v>
      </c>
      <c r="P73" s="24">
        <v>2.0219999999999998</v>
      </c>
      <c r="Q73" s="24">
        <v>0.82099999999999995</v>
      </c>
      <c r="R73" s="24">
        <v>4.2799999999999998E-2</v>
      </c>
      <c r="S73" s="24">
        <v>0</v>
      </c>
      <c r="T73" s="24">
        <v>1E-4</v>
      </c>
      <c r="U73" s="24">
        <v>2.9729999999999999</v>
      </c>
      <c r="V73" s="24">
        <v>5.0000000000000001E-4</v>
      </c>
      <c r="W73" s="24">
        <v>1.593</v>
      </c>
      <c r="X73" s="24">
        <v>0.55800000000000005</v>
      </c>
      <c r="Y73" s="24">
        <v>8.0149000000000008</v>
      </c>
      <c r="Z73" s="25">
        <f t="shared" si="0"/>
        <v>0.52839325991773911</v>
      </c>
      <c r="AA73" s="25">
        <f t="shared" si="1"/>
        <v>0.18508690460395383</v>
      </c>
      <c r="AB73" s="25">
        <f t="shared" si="2"/>
        <v>0.27232320551943739</v>
      </c>
      <c r="AC73" s="25">
        <f t="shared" si="3"/>
        <v>1.4196629958869575E-2</v>
      </c>
      <c r="AD73" s="25">
        <f t="shared" si="4"/>
        <v>0.74058577405857751</v>
      </c>
    </row>
    <row r="74" spans="1:30" x14ac:dyDescent="0.2">
      <c r="A74" s="24" t="s">
        <v>194</v>
      </c>
      <c r="B74" s="12">
        <v>1051.9084926158312</v>
      </c>
      <c r="C74" s="12">
        <v>-193.28467201399323</v>
      </c>
      <c r="D74" s="25">
        <v>6.1000000000000004E-3</v>
      </c>
      <c r="E74" s="25">
        <v>22.53</v>
      </c>
      <c r="F74" s="25">
        <v>10.11</v>
      </c>
      <c r="G74" s="25">
        <v>0.43859999999999999</v>
      </c>
      <c r="H74" s="25">
        <v>0</v>
      </c>
      <c r="I74" s="25">
        <v>1.6500000000000001E-2</v>
      </c>
      <c r="J74" s="25">
        <v>38.409999999999997</v>
      </c>
      <c r="K74" s="25">
        <v>2.9999999999999997E-4</v>
      </c>
      <c r="L74" s="25">
        <v>24.54</v>
      </c>
      <c r="M74" s="25">
        <v>4.72</v>
      </c>
      <c r="N74" s="25">
        <v>100.7714</v>
      </c>
      <c r="O74" s="24">
        <v>4.0000000000000002E-4</v>
      </c>
      <c r="P74" s="24">
        <v>2.0499999999999998</v>
      </c>
      <c r="Q74" s="24">
        <v>0.83699999999999997</v>
      </c>
      <c r="R74" s="24">
        <v>2.87E-2</v>
      </c>
      <c r="S74" s="24">
        <v>0</v>
      </c>
      <c r="T74" s="24">
        <v>1E-3</v>
      </c>
      <c r="U74" s="24">
        <v>2.9649999999999999</v>
      </c>
      <c r="V74" s="24">
        <v>0</v>
      </c>
      <c r="W74" s="24">
        <v>1.5840000000000001</v>
      </c>
      <c r="X74" s="24">
        <v>0.54300000000000004</v>
      </c>
      <c r="Y74" s="24">
        <v>8.0091000000000001</v>
      </c>
      <c r="Z74" s="25">
        <f t="shared" ref="Z74:Z166" si="7">W74/(W74+X74+R74+Q74)</f>
        <v>0.52928793397266682</v>
      </c>
      <c r="AA74" s="25">
        <f t="shared" ref="AA74:AA166" si="8">X74/(X74+W74+R74+Q74)</f>
        <v>0.18144150766866041</v>
      </c>
      <c r="AB74" s="25">
        <f t="shared" ref="AB74:AB166" si="9">Q74/(Q74+R74+W74+X74)</f>
        <v>0.27968055601964781</v>
      </c>
      <c r="AC74" s="25">
        <f t="shared" ref="AC74:AC166" si="10">R74/(Q74+R74+W74+X74)</f>
        <v>9.5900023390249594E-3</v>
      </c>
      <c r="AD74" s="25">
        <f t="shared" ref="AD74:AD166" si="11">W74/(W74+X74)</f>
        <v>0.74471086036671363</v>
      </c>
    </row>
    <row r="75" spans="1:30" x14ac:dyDescent="0.2">
      <c r="A75" s="24" t="s">
        <v>195</v>
      </c>
      <c r="B75" s="12">
        <v>1115.5481029226194</v>
      </c>
      <c r="C75" s="12">
        <v>-129.64506170720506</v>
      </c>
      <c r="D75" s="25">
        <v>0</v>
      </c>
      <c r="E75" s="25">
        <v>22.52</v>
      </c>
      <c r="F75" s="25">
        <v>7.04</v>
      </c>
      <c r="G75" s="25">
        <v>0.57850000000000001</v>
      </c>
      <c r="H75" s="25">
        <v>0</v>
      </c>
      <c r="I75" s="25">
        <v>2.3099999999999999E-2</v>
      </c>
      <c r="J75" s="25">
        <v>38.229999999999997</v>
      </c>
      <c r="K75" s="25">
        <v>0</v>
      </c>
      <c r="L75" s="25">
        <v>26.45</v>
      </c>
      <c r="M75" s="25">
        <v>5.97</v>
      </c>
      <c r="N75" s="25">
        <v>100.8115</v>
      </c>
      <c r="O75" s="24">
        <v>0</v>
      </c>
      <c r="P75" s="24">
        <v>2.0499999999999998</v>
      </c>
      <c r="Q75" s="24">
        <v>0.58299999999999996</v>
      </c>
      <c r="R75" s="24">
        <v>3.78E-2</v>
      </c>
      <c r="S75" s="24">
        <v>0</v>
      </c>
      <c r="T75" s="24">
        <v>1.2999999999999999E-3</v>
      </c>
      <c r="U75" s="24">
        <v>2.952</v>
      </c>
      <c r="V75" s="24">
        <v>0</v>
      </c>
      <c r="W75" s="24">
        <v>1.7090000000000001</v>
      </c>
      <c r="X75" s="24">
        <v>0.68799999999999994</v>
      </c>
      <c r="Y75" s="24">
        <v>8.0211000000000006</v>
      </c>
      <c r="Z75" s="25">
        <f t="shared" si="7"/>
        <v>0.56630658095301212</v>
      </c>
      <c r="AA75" s="25">
        <f t="shared" si="8"/>
        <v>0.22798064815428454</v>
      </c>
      <c r="AB75" s="25">
        <f t="shared" si="9"/>
        <v>0.1931870899330638</v>
      </c>
      <c r="AC75" s="25">
        <f t="shared" si="10"/>
        <v>1.2525680959639471E-2</v>
      </c>
      <c r="AD75" s="25">
        <f t="shared" si="11"/>
        <v>0.7129745515227367</v>
      </c>
    </row>
    <row r="76" spans="1:30" x14ac:dyDescent="0.2">
      <c r="A76" s="24" t="s">
        <v>196</v>
      </c>
      <c r="B76" s="12">
        <v>1175.6230561061204</v>
      </c>
      <c r="C76" s="12">
        <v>-69.570108523703993</v>
      </c>
      <c r="D76" s="25">
        <v>2.5999999999999999E-2</v>
      </c>
      <c r="E76" s="25">
        <v>22.64</v>
      </c>
      <c r="F76" s="25">
        <v>7.06</v>
      </c>
      <c r="G76" s="25">
        <v>0.61819999999999997</v>
      </c>
      <c r="H76" s="25">
        <v>0</v>
      </c>
      <c r="I76" s="25">
        <v>0</v>
      </c>
      <c r="J76" s="25">
        <v>38.450000000000003</v>
      </c>
      <c r="K76" s="25">
        <v>0</v>
      </c>
      <c r="L76" s="25">
        <v>26.27</v>
      </c>
      <c r="M76" s="25">
        <v>5.85</v>
      </c>
      <c r="N76" s="25">
        <v>100.9141</v>
      </c>
      <c r="O76" s="24">
        <v>1.6000000000000001E-3</v>
      </c>
      <c r="P76" s="24">
        <v>2.0569999999999999</v>
      </c>
      <c r="Q76" s="24">
        <v>0.58299999999999996</v>
      </c>
      <c r="R76" s="24">
        <v>4.0399999999999998E-2</v>
      </c>
      <c r="S76" s="24">
        <v>0</v>
      </c>
      <c r="T76" s="24">
        <v>0</v>
      </c>
      <c r="U76" s="24">
        <v>2.9630000000000001</v>
      </c>
      <c r="V76" s="24">
        <v>0</v>
      </c>
      <c r="W76" s="24">
        <v>1.6930000000000001</v>
      </c>
      <c r="X76" s="24">
        <v>0.67200000000000004</v>
      </c>
      <c r="Y76" s="24">
        <v>8.01</v>
      </c>
      <c r="Z76" s="25">
        <f t="shared" si="7"/>
        <v>0.56652389238388434</v>
      </c>
      <c r="AA76" s="25">
        <f t="shared" si="8"/>
        <v>0.22486949538214426</v>
      </c>
      <c r="AB76" s="25">
        <f t="shared" si="9"/>
        <v>0.19508767233302102</v>
      </c>
      <c r="AC76" s="25">
        <f t="shared" si="10"/>
        <v>1.3518939900950341E-2</v>
      </c>
      <c r="AD76" s="25">
        <f t="shared" si="11"/>
        <v>0.71585623678646926</v>
      </c>
    </row>
    <row r="77" spans="1:30" x14ac:dyDescent="0.2">
      <c r="A77" s="24" t="s">
        <v>197</v>
      </c>
      <c r="B77" s="12">
        <v>1245.1931646298244</v>
      </c>
      <c r="C77" s="12">
        <v>0</v>
      </c>
      <c r="D77" s="25">
        <v>2.1000000000000001E-2</v>
      </c>
      <c r="E77" s="25">
        <v>22.32</v>
      </c>
      <c r="F77" s="25">
        <v>8.09</v>
      </c>
      <c r="G77" s="25">
        <v>0.59950000000000003</v>
      </c>
      <c r="H77" s="25">
        <v>0</v>
      </c>
      <c r="I77" s="25">
        <v>0</v>
      </c>
      <c r="J77" s="25">
        <v>38.32</v>
      </c>
      <c r="K77" s="25">
        <v>0</v>
      </c>
      <c r="L77" s="25">
        <v>25.84</v>
      </c>
      <c r="M77" s="25">
        <v>5.63</v>
      </c>
      <c r="N77" s="25">
        <v>100.82040000000001</v>
      </c>
      <c r="O77" s="24">
        <v>1.2999999999999999E-3</v>
      </c>
      <c r="P77" s="24">
        <v>2.0329999999999999</v>
      </c>
      <c r="Q77" s="24">
        <v>0.67</v>
      </c>
      <c r="R77" s="24">
        <v>3.9199999999999999E-2</v>
      </c>
      <c r="S77" s="24">
        <v>0</v>
      </c>
      <c r="T77" s="24">
        <v>0</v>
      </c>
      <c r="U77" s="24">
        <v>2.9609999999999999</v>
      </c>
      <c r="V77" s="24">
        <v>0</v>
      </c>
      <c r="W77" s="24">
        <v>1.67</v>
      </c>
      <c r="X77" s="24">
        <v>0.64900000000000002</v>
      </c>
      <c r="Y77" s="24">
        <v>8.0236000000000001</v>
      </c>
      <c r="Z77" s="25">
        <f t="shared" si="7"/>
        <v>0.55148272901393569</v>
      </c>
      <c r="AA77" s="25">
        <f t="shared" si="8"/>
        <v>0.21431873720361933</v>
      </c>
      <c r="AB77" s="25">
        <f t="shared" si="9"/>
        <v>0.2212535499636748</v>
      </c>
      <c r="AC77" s="25">
        <f t="shared" si="10"/>
        <v>1.2944983818770225E-2</v>
      </c>
      <c r="AD77" s="25">
        <f t="shared" si="11"/>
        <v>0.72013799051315219</v>
      </c>
    </row>
    <row r="78" spans="1:30" x14ac:dyDescent="0.2">
      <c r="D78" s="25"/>
      <c r="E78" s="25"/>
      <c r="F78" s="25"/>
      <c r="G78" s="25"/>
      <c r="H78" s="25"/>
      <c r="I78" s="25"/>
      <c r="J78" s="25"/>
      <c r="K78" s="25"/>
      <c r="L78" s="25"/>
      <c r="M78" s="25"/>
      <c r="N78" s="25"/>
      <c r="Z78" s="25"/>
      <c r="AA78" s="25"/>
      <c r="AB78" s="25"/>
      <c r="AC78" s="25"/>
      <c r="AD78" s="25"/>
    </row>
    <row r="79" spans="1:30" x14ac:dyDescent="0.2">
      <c r="A79" s="24" t="s">
        <v>198</v>
      </c>
      <c r="D79" s="25">
        <f>AVERAGE(D42:D56,D58:D77)</f>
        <v>8.0514285714285722E-3</v>
      </c>
      <c r="E79" s="25">
        <f t="shared" ref="E79:AD79" si="12">AVERAGE(E42:E56,E58:E77)</f>
        <v>22.07742857142857</v>
      </c>
      <c r="F79" s="25">
        <f t="shared" si="12"/>
        <v>9.8645714285714288</v>
      </c>
      <c r="G79" s="25">
        <f t="shared" si="12"/>
        <v>1.0261685714285715</v>
      </c>
      <c r="H79" s="25">
        <f t="shared" si="12"/>
        <v>2.1074285714285719E-2</v>
      </c>
      <c r="I79" s="25">
        <f t="shared" si="12"/>
        <v>0.10792285714285714</v>
      </c>
      <c r="J79" s="25">
        <f t="shared" si="12"/>
        <v>38.260000000000005</v>
      </c>
      <c r="K79" s="25">
        <f t="shared" si="12"/>
        <v>1.66E-3</v>
      </c>
      <c r="L79" s="25">
        <f t="shared" si="12"/>
        <v>24.472571428571428</v>
      </c>
      <c r="M79" s="25">
        <f t="shared" si="12"/>
        <v>4.6988571428571433</v>
      </c>
      <c r="N79" s="25">
        <f t="shared" si="12"/>
        <v>100.53826000000001</v>
      </c>
      <c r="O79" s="25">
        <f t="shared" si="12"/>
        <v>4.9428571428571414E-4</v>
      </c>
      <c r="P79" s="25">
        <f t="shared" si="12"/>
        <v>2.0189714285714286</v>
      </c>
      <c r="Q79" s="25">
        <f t="shared" si="12"/>
        <v>0.8202571428571428</v>
      </c>
      <c r="R79" s="25">
        <f t="shared" si="12"/>
        <v>6.759142857142858E-2</v>
      </c>
      <c r="S79" s="25">
        <f t="shared" si="12"/>
        <v>3.1800000000000001E-3</v>
      </c>
      <c r="T79" s="25">
        <f t="shared" si="12"/>
        <v>6.3057142857142843E-3</v>
      </c>
      <c r="U79" s="25">
        <f t="shared" si="12"/>
        <v>2.9685714285714293</v>
      </c>
      <c r="V79" s="25">
        <f t="shared" si="12"/>
        <v>1.6285714285714287E-4</v>
      </c>
      <c r="W79" s="25">
        <f t="shared" si="12"/>
        <v>1.588314285714286</v>
      </c>
      <c r="X79" s="25">
        <f t="shared" si="12"/>
        <v>0.54354285714285722</v>
      </c>
      <c r="Y79" s="25">
        <f t="shared" si="12"/>
        <v>8.0174114285714264</v>
      </c>
      <c r="Z79" s="25">
        <f t="shared" si="12"/>
        <v>0.52599286111105215</v>
      </c>
      <c r="AA79" s="25">
        <f t="shared" si="12"/>
        <v>0.17996121516690938</v>
      </c>
      <c r="AB79" s="25">
        <f t="shared" si="12"/>
        <v>0.2716742085903685</v>
      </c>
      <c r="AC79" s="25">
        <f t="shared" si="12"/>
        <v>2.2371715131670127E-2</v>
      </c>
      <c r="AD79" s="25">
        <f t="shared" si="12"/>
        <v>0.74598176570031793</v>
      </c>
    </row>
    <row r="80" spans="1:30" x14ac:dyDescent="0.2">
      <c r="D80" s="25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  <c r="P80" s="25"/>
      <c r="Q80" s="25"/>
      <c r="R80" s="25"/>
      <c r="S80" s="25"/>
      <c r="T80" s="25"/>
      <c r="U80" s="25"/>
      <c r="V80" s="25"/>
      <c r="W80" s="25"/>
      <c r="X80" s="25"/>
      <c r="Y80" s="25"/>
      <c r="Z80" s="25"/>
      <c r="AA80" s="25"/>
      <c r="AB80" s="25"/>
      <c r="AC80" s="25"/>
      <c r="AD80" s="25"/>
    </row>
    <row r="81" spans="1:30" x14ac:dyDescent="0.2">
      <c r="A81" s="24" t="s">
        <v>199</v>
      </c>
      <c r="B81" s="12">
        <v>0</v>
      </c>
      <c r="C81" s="12">
        <v>-557.3670154025873</v>
      </c>
      <c r="D81" s="25">
        <v>2.35E-2</v>
      </c>
      <c r="E81" s="25">
        <v>22.26</v>
      </c>
      <c r="F81" s="25">
        <v>7.96</v>
      </c>
      <c r="G81" s="25">
        <v>1.83</v>
      </c>
      <c r="H81" s="25">
        <v>2.1499999999999998E-2</v>
      </c>
      <c r="I81" s="25">
        <v>0.16689999999999999</v>
      </c>
      <c r="J81" s="25">
        <v>38.590000000000003</v>
      </c>
      <c r="K81" s="25">
        <v>0</v>
      </c>
      <c r="L81" s="25">
        <v>24.07</v>
      </c>
      <c r="M81" s="25">
        <v>5.67</v>
      </c>
      <c r="N81" s="25">
        <v>100.59180000000001</v>
      </c>
      <c r="O81" s="24">
        <v>1.4E-3</v>
      </c>
      <c r="P81" s="24">
        <v>2.0249999999999999</v>
      </c>
      <c r="Q81" s="24">
        <v>0.65800000000000003</v>
      </c>
      <c r="R81" s="24">
        <v>0.12</v>
      </c>
      <c r="S81" s="24">
        <v>3.2000000000000002E-3</v>
      </c>
      <c r="T81" s="24">
        <v>9.7000000000000003E-3</v>
      </c>
      <c r="U81" s="24">
        <v>2.9780000000000002</v>
      </c>
      <c r="V81" s="24">
        <v>0</v>
      </c>
      <c r="W81" s="24">
        <v>1.554</v>
      </c>
      <c r="X81" s="24">
        <v>0.65200000000000002</v>
      </c>
      <c r="Y81" s="24">
        <v>8.0013000000000005</v>
      </c>
      <c r="Z81" s="25">
        <f t="shared" si="7"/>
        <v>0.52077747989276146</v>
      </c>
      <c r="AA81" s="25">
        <f t="shared" si="8"/>
        <v>0.21849865951742628</v>
      </c>
      <c r="AB81" s="25">
        <f t="shared" si="9"/>
        <v>0.22050938337801609</v>
      </c>
      <c r="AC81" s="25">
        <f t="shared" si="10"/>
        <v>4.0214477211796246E-2</v>
      </c>
      <c r="AD81" s="25">
        <f t="shared" si="11"/>
        <v>0.70444242973708071</v>
      </c>
    </row>
    <row r="82" spans="1:30" x14ac:dyDescent="0.2">
      <c r="A82" s="24" t="s">
        <v>200</v>
      </c>
      <c r="B82" s="12">
        <v>20.000000000004547</v>
      </c>
      <c r="C82" s="12">
        <v>-537.36701540258275</v>
      </c>
      <c r="D82" s="25">
        <v>0</v>
      </c>
      <c r="E82" s="25">
        <v>22.19</v>
      </c>
      <c r="F82" s="25">
        <v>7.76</v>
      </c>
      <c r="G82" s="25">
        <v>2.73</v>
      </c>
      <c r="H82" s="25">
        <v>0</v>
      </c>
      <c r="I82" s="25">
        <v>0.2094</v>
      </c>
      <c r="J82" s="25">
        <v>38.590000000000003</v>
      </c>
      <c r="K82" s="25">
        <v>0</v>
      </c>
      <c r="L82" s="25">
        <v>23.95</v>
      </c>
      <c r="M82" s="25">
        <v>5.52</v>
      </c>
      <c r="N82" s="25">
        <v>100.94929999999999</v>
      </c>
      <c r="O82" s="24">
        <v>0</v>
      </c>
      <c r="P82" s="24">
        <v>2.0169999999999999</v>
      </c>
      <c r="Q82" s="24">
        <v>0.64100000000000001</v>
      </c>
      <c r="R82" s="24">
        <v>0.17799999999999999</v>
      </c>
      <c r="S82" s="24">
        <v>0</v>
      </c>
      <c r="T82" s="24">
        <v>1.21E-2</v>
      </c>
      <c r="U82" s="24">
        <v>2.976</v>
      </c>
      <c r="V82" s="24">
        <v>0</v>
      </c>
      <c r="W82" s="24">
        <v>1.5449999999999999</v>
      </c>
      <c r="X82" s="24">
        <v>0.63400000000000001</v>
      </c>
      <c r="Y82" s="24">
        <v>8.0030999999999999</v>
      </c>
      <c r="Z82" s="25">
        <f t="shared" si="7"/>
        <v>0.51534356237491663</v>
      </c>
      <c r="AA82" s="25">
        <f t="shared" si="8"/>
        <v>0.21147431621080723</v>
      </c>
      <c r="AB82" s="25">
        <f t="shared" si="9"/>
        <v>0.21380920613742496</v>
      </c>
      <c r="AC82" s="25">
        <f t="shared" si="10"/>
        <v>5.9372915276851235E-2</v>
      </c>
      <c r="AD82" s="25">
        <f t="shared" si="11"/>
        <v>0.7090408444240478</v>
      </c>
    </row>
    <row r="83" spans="1:30" x14ac:dyDescent="0.2">
      <c r="A83" s="24" t="s">
        <v>201</v>
      </c>
      <c r="B83" s="12">
        <v>66.097722286463664</v>
      </c>
      <c r="C83" s="12">
        <v>-491.26929311612366</v>
      </c>
      <c r="D83" s="25">
        <v>0</v>
      </c>
      <c r="E83" s="25">
        <v>22.57</v>
      </c>
      <c r="F83" s="25">
        <v>7.84</v>
      </c>
      <c r="G83" s="25">
        <v>1.61</v>
      </c>
      <c r="H83" s="25">
        <v>3.8100000000000002E-2</v>
      </c>
      <c r="I83" s="25">
        <v>0.2082</v>
      </c>
      <c r="J83" s="25">
        <v>38.75</v>
      </c>
      <c r="K83" s="25">
        <v>0</v>
      </c>
      <c r="L83" s="25">
        <v>24.37</v>
      </c>
      <c r="M83" s="25">
        <v>5.83</v>
      </c>
      <c r="N83" s="25">
        <v>101.2162</v>
      </c>
      <c r="O83" s="24">
        <v>0</v>
      </c>
      <c r="P83" s="24">
        <v>2.0390000000000001</v>
      </c>
      <c r="Q83" s="24">
        <v>0.64300000000000002</v>
      </c>
      <c r="R83" s="24">
        <v>0.105</v>
      </c>
      <c r="S83" s="24">
        <v>5.7000000000000002E-3</v>
      </c>
      <c r="T83" s="24">
        <v>1.2E-2</v>
      </c>
      <c r="U83" s="24">
        <v>2.97</v>
      </c>
      <c r="V83" s="24">
        <v>0</v>
      </c>
      <c r="W83" s="24">
        <v>1.5620000000000001</v>
      </c>
      <c r="X83" s="24">
        <v>0.66600000000000004</v>
      </c>
      <c r="Y83" s="24">
        <v>8.0028000000000006</v>
      </c>
      <c r="Z83" s="25">
        <f t="shared" si="7"/>
        <v>0.5248655913978495</v>
      </c>
      <c r="AA83" s="25">
        <f t="shared" si="8"/>
        <v>0.22379032258064518</v>
      </c>
      <c r="AB83" s="25">
        <f t="shared" si="9"/>
        <v>0.21606182795698925</v>
      </c>
      <c r="AC83" s="25">
        <f t="shared" si="10"/>
        <v>3.5282258064516125E-2</v>
      </c>
      <c r="AD83" s="25">
        <f t="shared" si="11"/>
        <v>0.70107719928186707</v>
      </c>
    </row>
    <row r="84" spans="1:30" x14ac:dyDescent="0.2">
      <c r="A84" s="24" t="s">
        <v>202</v>
      </c>
      <c r="B84" s="12">
        <v>87.358013911936553</v>
      </c>
      <c r="C84" s="12">
        <v>-470.0090014906508</v>
      </c>
      <c r="D84" s="25">
        <v>0</v>
      </c>
      <c r="E84" s="25">
        <v>22.3</v>
      </c>
      <c r="F84" s="25">
        <v>7.59</v>
      </c>
      <c r="G84" s="25">
        <v>1.46</v>
      </c>
      <c r="H84" s="25">
        <v>2.63E-2</v>
      </c>
      <c r="I84" s="25">
        <v>0.1928</v>
      </c>
      <c r="J84" s="25">
        <v>38.67</v>
      </c>
      <c r="K84" s="25">
        <v>0</v>
      </c>
      <c r="L84" s="25">
        <v>24.59</v>
      </c>
      <c r="M84" s="25">
        <v>5.95</v>
      </c>
      <c r="N84" s="25">
        <v>100.779</v>
      </c>
      <c r="O84" s="24">
        <v>0</v>
      </c>
      <c r="P84" s="24">
        <v>2.0230000000000001</v>
      </c>
      <c r="Q84" s="24">
        <v>0.626</v>
      </c>
      <c r="R84" s="24">
        <v>9.5000000000000001E-2</v>
      </c>
      <c r="S84" s="24">
        <v>3.8999999999999998E-3</v>
      </c>
      <c r="T84" s="24">
        <v>1.12E-2</v>
      </c>
      <c r="U84" s="24">
        <v>2.9769999999999999</v>
      </c>
      <c r="V84" s="24">
        <v>0</v>
      </c>
      <c r="W84" s="24">
        <v>1.583</v>
      </c>
      <c r="X84" s="24">
        <v>0.68300000000000005</v>
      </c>
      <c r="Y84" s="24">
        <v>8.0021000000000004</v>
      </c>
      <c r="Z84" s="25">
        <f t="shared" si="7"/>
        <v>0.52996317375292934</v>
      </c>
      <c r="AA84" s="25">
        <f t="shared" si="8"/>
        <v>0.22865751590224306</v>
      </c>
      <c r="AB84" s="25">
        <f t="shared" si="9"/>
        <v>0.20957482423836624</v>
      </c>
      <c r="AC84" s="25">
        <f t="shared" si="10"/>
        <v>3.1804486106461333E-2</v>
      </c>
      <c r="AD84" s="25">
        <f t="shared" si="11"/>
        <v>0.69858781994704322</v>
      </c>
    </row>
    <row r="85" spans="1:30" x14ac:dyDescent="0.2">
      <c r="A85" s="24" t="s">
        <v>203</v>
      </c>
      <c r="B85" s="12">
        <v>116.42689761943042</v>
      </c>
      <c r="C85" s="12">
        <v>-440.94011778315695</v>
      </c>
      <c r="D85" s="25">
        <v>1.12E-2</v>
      </c>
      <c r="E85" s="25">
        <v>22.19</v>
      </c>
      <c r="F85" s="25">
        <v>7.76</v>
      </c>
      <c r="G85" s="25">
        <v>1.43</v>
      </c>
      <c r="H85" s="25">
        <v>5.4899999999999997E-2</v>
      </c>
      <c r="I85" s="25">
        <v>0.15440000000000001</v>
      </c>
      <c r="J85" s="25">
        <v>38.64</v>
      </c>
      <c r="K85" s="25">
        <v>0</v>
      </c>
      <c r="L85" s="25">
        <v>24.5</v>
      </c>
      <c r="M85" s="25">
        <v>5.95</v>
      </c>
      <c r="N85" s="25">
        <v>100.6904</v>
      </c>
      <c r="O85" s="24">
        <v>6.9999999999999999E-4</v>
      </c>
      <c r="P85" s="24">
        <v>2.016</v>
      </c>
      <c r="Q85" s="24">
        <v>0.64100000000000001</v>
      </c>
      <c r="R85" s="24">
        <v>9.2999999999999999E-2</v>
      </c>
      <c r="S85" s="24">
        <v>8.2000000000000007E-3</v>
      </c>
      <c r="T85" s="24">
        <v>8.8999999999999999E-3</v>
      </c>
      <c r="U85" s="24">
        <v>2.9780000000000002</v>
      </c>
      <c r="V85" s="24">
        <v>0</v>
      </c>
      <c r="W85" s="24">
        <v>1.579</v>
      </c>
      <c r="X85" s="24">
        <v>0.68400000000000005</v>
      </c>
      <c r="Y85" s="24">
        <v>8.0089000000000006</v>
      </c>
      <c r="Z85" s="25">
        <f t="shared" si="7"/>
        <v>0.5268601935268602</v>
      </c>
      <c r="AA85" s="25">
        <f t="shared" si="8"/>
        <v>0.22822822822822825</v>
      </c>
      <c r="AB85" s="25">
        <f t="shared" si="9"/>
        <v>0.21388054721388056</v>
      </c>
      <c r="AC85" s="25">
        <f t="shared" si="10"/>
        <v>3.1031031031031032E-2</v>
      </c>
      <c r="AD85" s="25">
        <f t="shared" si="11"/>
        <v>0.69774635439681842</v>
      </c>
    </row>
    <row r="86" spans="1:30" x14ac:dyDescent="0.2">
      <c r="A86" s="24" t="s">
        <v>204</v>
      </c>
      <c r="B86" s="12">
        <v>145.06253974598636</v>
      </c>
      <c r="C86" s="12">
        <v>-412.30447565660103</v>
      </c>
      <c r="D86" s="25">
        <v>0</v>
      </c>
      <c r="E86" s="25">
        <v>22.33</v>
      </c>
      <c r="F86" s="25">
        <v>8.18</v>
      </c>
      <c r="G86" s="25">
        <v>1.29</v>
      </c>
      <c r="H86" s="25">
        <v>4.7999999999999996E-3</v>
      </c>
      <c r="I86" s="25">
        <v>0.1643</v>
      </c>
      <c r="J86" s="25">
        <v>38.700000000000003</v>
      </c>
      <c r="K86" s="25">
        <v>0</v>
      </c>
      <c r="L86" s="25">
        <v>24.25</v>
      </c>
      <c r="M86" s="25">
        <v>5.74</v>
      </c>
      <c r="N86" s="25">
        <v>100.65900000000001</v>
      </c>
      <c r="O86" s="24">
        <v>0</v>
      </c>
      <c r="P86" s="24">
        <v>2.0270000000000001</v>
      </c>
      <c r="Q86" s="24">
        <v>0.67500000000000004</v>
      </c>
      <c r="R86" s="24">
        <v>8.4000000000000005E-2</v>
      </c>
      <c r="S86" s="24">
        <v>6.9999999999999999E-4</v>
      </c>
      <c r="T86" s="24">
        <v>9.4999999999999998E-3</v>
      </c>
      <c r="U86" s="24">
        <v>2.98</v>
      </c>
      <c r="V86" s="24">
        <v>0</v>
      </c>
      <c r="W86" s="24">
        <v>1.5620000000000001</v>
      </c>
      <c r="X86" s="24">
        <v>0.65900000000000003</v>
      </c>
      <c r="Y86" s="24">
        <v>7.9973000000000001</v>
      </c>
      <c r="Z86" s="25">
        <f t="shared" si="7"/>
        <v>0.52416107382550325</v>
      </c>
      <c r="AA86" s="25">
        <f t="shared" si="8"/>
        <v>0.22114093959731543</v>
      </c>
      <c r="AB86" s="25">
        <f t="shared" si="9"/>
        <v>0.22651006711409394</v>
      </c>
      <c r="AC86" s="25">
        <f t="shared" si="10"/>
        <v>2.8187919463087244E-2</v>
      </c>
      <c r="AD86" s="25">
        <f t="shared" si="11"/>
        <v>0.70328680774425933</v>
      </c>
    </row>
    <row r="87" spans="1:30" x14ac:dyDescent="0.2">
      <c r="A87" s="24" t="s">
        <v>205</v>
      </c>
      <c r="B87" s="12">
        <v>173.69818187253586</v>
      </c>
      <c r="C87" s="12">
        <v>-383.66883353005153</v>
      </c>
      <c r="D87" s="25">
        <v>0</v>
      </c>
      <c r="E87" s="25">
        <v>22.28</v>
      </c>
      <c r="F87" s="25">
        <v>8.09</v>
      </c>
      <c r="G87" s="25">
        <v>1.1936</v>
      </c>
      <c r="H87" s="25">
        <v>0</v>
      </c>
      <c r="I87" s="25">
        <v>0.1467</v>
      </c>
      <c r="J87" s="25">
        <v>38.31</v>
      </c>
      <c r="K87" s="25">
        <v>0</v>
      </c>
      <c r="L87" s="25">
        <v>24.25</v>
      </c>
      <c r="M87" s="25">
        <v>5.9</v>
      </c>
      <c r="N87" s="25">
        <v>100.17019999999999</v>
      </c>
      <c r="O87" s="24">
        <v>0</v>
      </c>
      <c r="P87" s="24">
        <v>2.0329999999999999</v>
      </c>
      <c r="Q87" s="24">
        <v>0.67200000000000004</v>
      </c>
      <c r="R87" s="24">
        <v>7.8299999999999995E-2</v>
      </c>
      <c r="S87" s="24">
        <v>0</v>
      </c>
      <c r="T87" s="24">
        <v>8.5000000000000006E-3</v>
      </c>
      <c r="U87" s="24">
        <v>2.9660000000000002</v>
      </c>
      <c r="V87" s="24">
        <v>0</v>
      </c>
      <c r="W87" s="24">
        <v>1.57</v>
      </c>
      <c r="X87" s="24">
        <v>0.68100000000000005</v>
      </c>
      <c r="Y87" s="24">
        <v>8.0089000000000006</v>
      </c>
      <c r="Z87" s="25">
        <f t="shared" si="7"/>
        <v>0.52310665378336052</v>
      </c>
      <c r="AA87" s="25">
        <f t="shared" si="8"/>
        <v>0.22690167594042579</v>
      </c>
      <c r="AB87" s="25">
        <f t="shared" si="9"/>
        <v>0.2239029753773365</v>
      </c>
      <c r="AC87" s="25">
        <f t="shared" si="10"/>
        <v>2.6088694898877152E-2</v>
      </c>
      <c r="AD87" s="25">
        <f t="shared" si="11"/>
        <v>0.69746779209240328</v>
      </c>
    </row>
    <row r="88" spans="1:30" x14ac:dyDescent="0.2">
      <c r="A88" s="24" t="s">
        <v>206</v>
      </c>
      <c r="B88" s="12">
        <v>202.76706558003607</v>
      </c>
      <c r="C88" s="12">
        <v>-354.59994982255131</v>
      </c>
      <c r="D88" s="25">
        <v>0</v>
      </c>
      <c r="E88" s="25">
        <v>22.37</v>
      </c>
      <c r="F88" s="25">
        <v>8.09</v>
      </c>
      <c r="G88" s="25">
        <v>1.0852999999999999</v>
      </c>
      <c r="H88" s="25">
        <v>1.9099999999999999E-2</v>
      </c>
      <c r="I88" s="25">
        <v>0.124</v>
      </c>
      <c r="J88" s="25">
        <v>38.42</v>
      </c>
      <c r="K88" s="25">
        <v>0</v>
      </c>
      <c r="L88" s="25">
        <v>24.49</v>
      </c>
      <c r="M88" s="25">
        <v>5.95</v>
      </c>
      <c r="N88" s="25">
        <v>100.5483</v>
      </c>
      <c r="O88" s="24">
        <v>0</v>
      </c>
      <c r="P88" s="24">
        <v>2.0339999999999998</v>
      </c>
      <c r="Q88" s="24">
        <v>0.66900000000000004</v>
      </c>
      <c r="R88" s="24">
        <v>7.0900000000000005E-2</v>
      </c>
      <c r="S88" s="24">
        <v>2.8999999999999998E-3</v>
      </c>
      <c r="T88" s="24">
        <v>7.1999999999999998E-3</v>
      </c>
      <c r="U88" s="24">
        <v>2.964</v>
      </c>
      <c r="V88" s="24">
        <v>0</v>
      </c>
      <c r="W88" s="24">
        <v>1.58</v>
      </c>
      <c r="X88" s="24">
        <v>0.68400000000000005</v>
      </c>
      <c r="Y88" s="24">
        <v>8.0120000000000005</v>
      </c>
      <c r="Z88" s="25">
        <f t="shared" si="7"/>
        <v>0.52598288891108225</v>
      </c>
      <c r="AA88" s="25">
        <f t="shared" si="8"/>
        <v>0.22770398481973433</v>
      </c>
      <c r="AB88" s="25">
        <f t="shared" si="9"/>
        <v>0.22271047638070507</v>
      </c>
      <c r="AC88" s="25">
        <f t="shared" si="10"/>
        <v>2.3602649888478312E-2</v>
      </c>
      <c r="AD88" s="25">
        <f t="shared" si="11"/>
        <v>0.69787985865724378</v>
      </c>
    </row>
    <row r="89" spans="1:30" x14ac:dyDescent="0.2">
      <c r="A89" s="24" t="s">
        <v>207</v>
      </c>
      <c r="B89" s="12">
        <v>235.88805590339129</v>
      </c>
      <c r="C89" s="12">
        <v>-321.47895949919609</v>
      </c>
      <c r="D89" s="25">
        <v>1.18E-2</v>
      </c>
      <c r="E89" s="25">
        <v>22.45</v>
      </c>
      <c r="F89" s="25">
        <v>7.95</v>
      </c>
      <c r="G89" s="25">
        <v>1.0085</v>
      </c>
      <c r="H89" s="25">
        <v>4.2799999999999998E-2</v>
      </c>
      <c r="I89" s="25">
        <v>8.4900000000000003E-2</v>
      </c>
      <c r="J89" s="25">
        <v>38.72</v>
      </c>
      <c r="K89" s="25">
        <v>0</v>
      </c>
      <c r="L89" s="25">
        <v>24.57</v>
      </c>
      <c r="M89" s="25">
        <v>5.97</v>
      </c>
      <c r="N89" s="25">
        <v>100.80800000000001</v>
      </c>
      <c r="O89" s="24">
        <v>6.9999999999999999E-4</v>
      </c>
      <c r="P89" s="24">
        <v>2.0339999999999998</v>
      </c>
      <c r="Q89" s="24">
        <v>0.65400000000000003</v>
      </c>
      <c r="R89" s="24">
        <v>6.5699999999999995E-2</v>
      </c>
      <c r="S89" s="24">
        <v>6.4000000000000003E-3</v>
      </c>
      <c r="T89" s="24">
        <v>4.8999999999999998E-3</v>
      </c>
      <c r="U89" s="24">
        <v>2.976</v>
      </c>
      <c r="V89" s="24">
        <v>0</v>
      </c>
      <c r="W89" s="24">
        <v>1.58</v>
      </c>
      <c r="X89" s="24">
        <v>0.68400000000000005</v>
      </c>
      <c r="Y89" s="24">
        <v>8.0056999999999992</v>
      </c>
      <c r="Z89" s="25">
        <f t="shared" si="7"/>
        <v>0.52954385494520229</v>
      </c>
      <c r="AA89" s="25">
        <f t="shared" si="8"/>
        <v>0.22924556758387238</v>
      </c>
      <c r="AB89" s="25">
        <f t="shared" si="9"/>
        <v>0.21919093742668497</v>
      </c>
      <c r="AC89" s="25">
        <f t="shared" si="10"/>
        <v>2.2019640044240368E-2</v>
      </c>
      <c r="AD89" s="25">
        <f t="shared" si="11"/>
        <v>0.69787985865724378</v>
      </c>
    </row>
    <row r="90" spans="1:30" x14ac:dyDescent="0.2">
      <c r="A90" s="24" t="s">
        <v>208</v>
      </c>
      <c r="B90" s="12">
        <v>260.23964722716647</v>
      </c>
      <c r="C90" s="12">
        <v>-297.12736817542088</v>
      </c>
      <c r="D90" s="25">
        <v>0</v>
      </c>
      <c r="E90" s="25">
        <v>22.5</v>
      </c>
      <c r="F90" s="25">
        <v>7.63</v>
      </c>
      <c r="G90" s="25">
        <v>1.0271999999999999</v>
      </c>
      <c r="H90" s="25">
        <v>7.6300000000000007E-2</v>
      </c>
      <c r="I90" s="25">
        <v>7.6999999999999999E-2</v>
      </c>
      <c r="J90" s="25">
        <v>38.54</v>
      </c>
      <c r="K90" s="25">
        <v>0</v>
      </c>
      <c r="L90" s="25">
        <v>24.85</v>
      </c>
      <c r="M90" s="25">
        <v>6.12</v>
      </c>
      <c r="N90" s="25">
        <v>100.82040000000001</v>
      </c>
      <c r="O90" s="24">
        <v>0</v>
      </c>
      <c r="P90" s="24">
        <v>2.04</v>
      </c>
      <c r="Q90" s="24">
        <v>0.629</v>
      </c>
      <c r="R90" s="24">
        <v>6.6900000000000001E-2</v>
      </c>
      <c r="S90" s="24">
        <v>1.14E-2</v>
      </c>
      <c r="T90" s="24">
        <v>4.4999999999999997E-3</v>
      </c>
      <c r="U90" s="24">
        <v>2.9649999999999999</v>
      </c>
      <c r="V90" s="24">
        <v>0</v>
      </c>
      <c r="W90" s="24">
        <v>1.599</v>
      </c>
      <c r="X90" s="24">
        <v>0.70199999999999996</v>
      </c>
      <c r="Y90" s="24">
        <v>8.0177999999999994</v>
      </c>
      <c r="Z90" s="25">
        <f t="shared" si="7"/>
        <v>0.53355133638092689</v>
      </c>
      <c r="AA90" s="25">
        <f t="shared" si="8"/>
        <v>0.23424205011845572</v>
      </c>
      <c r="AB90" s="25">
        <f t="shared" si="9"/>
        <v>0.2098835463312089</v>
      </c>
      <c r="AC90" s="25">
        <f t="shared" si="10"/>
        <v>2.2323067169408389E-2</v>
      </c>
      <c r="AD90" s="25">
        <f t="shared" si="11"/>
        <v>0.69491525423728806</v>
      </c>
    </row>
    <row r="91" spans="1:30" x14ac:dyDescent="0.2">
      <c r="A91" s="24" t="s">
        <v>209</v>
      </c>
      <c r="B91" s="12">
        <v>284.32283638474905</v>
      </c>
      <c r="C91" s="12">
        <v>-273.0441790178383</v>
      </c>
      <c r="D91" s="25">
        <v>1.18E-2</v>
      </c>
      <c r="E91" s="25">
        <v>22.52</v>
      </c>
      <c r="F91" s="25">
        <v>8.2200000000000006</v>
      </c>
      <c r="G91" s="25">
        <v>0.98119999999999996</v>
      </c>
      <c r="H91" s="25">
        <v>4.0399999999999998E-2</v>
      </c>
      <c r="I91" s="25">
        <v>5.0999999999999997E-2</v>
      </c>
      <c r="J91" s="25">
        <v>38.51</v>
      </c>
      <c r="K91" s="25">
        <v>0</v>
      </c>
      <c r="L91" s="25">
        <v>24.45</v>
      </c>
      <c r="M91" s="25">
        <v>5.91</v>
      </c>
      <c r="N91" s="25">
        <v>100.6943</v>
      </c>
      <c r="O91" s="24">
        <v>6.9999999999999999E-4</v>
      </c>
      <c r="P91" s="24">
        <v>2.044</v>
      </c>
      <c r="Q91" s="24">
        <v>0.67800000000000005</v>
      </c>
      <c r="R91" s="24">
        <v>6.4000000000000001E-2</v>
      </c>
      <c r="S91" s="24">
        <v>6.0000000000000001E-3</v>
      </c>
      <c r="T91" s="24">
        <v>3.0000000000000001E-3</v>
      </c>
      <c r="U91" s="24">
        <v>2.9649999999999999</v>
      </c>
      <c r="V91" s="24">
        <v>0</v>
      </c>
      <c r="W91" s="24">
        <v>1.5740000000000001</v>
      </c>
      <c r="X91" s="24">
        <v>0.67800000000000005</v>
      </c>
      <c r="Y91" s="24">
        <v>8.0127000000000006</v>
      </c>
      <c r="Z91" s="25">
        <f t="shared" si="7"/>
        <v>0.5257181028724115</v>
      </c>
      <c r="AA91" s="25">
        <f t="shared" si="8"/>
        <v>0.22645290581162325</v>
      </c>
      <c r="AB91" s="25">
        <f t="shared" si="9"/>
        <v>0.22645290581162328</v>
      </c>
      <c r="AC91" s="25">
        <f t="shared" si="10"/>
        <v>2.1376085504342019E-2</v>
      </c>
      <c r="AD91" s="25">
        <f t="shared" si="11"/>
        <v>0.69893428063943153</v>
      </c>
    </row>
    <row r="92" spans="1:30" x14ac:dyDescent="0.2">
      <c r="A92" s="24" t="s">
        <v>210</v>
      </c>
      <c r="B92" s="12">
        <v>335.0180038072948</v>
      </c>
      <c r="C92" s="12">
        <v>-222.34901159529252</v>
      </c>
      <c r="D92" s="25">
        <v>2.7300000000000001E-2</v>
      </c>
      <c r="E92" s="25">
        <v>22.72</v>
      </c>
      <c r="F92" s="25">
        <v>7.75</v>
      </c>
      <c r="G92" s="25">
        <v>0.90620000000000001</v>
      </c>
      <c r="H92" s="25">
        <v>2.3999999999999998E-3</v>
      </c>
      <c r="I92" s="25">
        <v>4.4699999999999997E-2</v>
      </c>
      <c r="J92" s="25">
        <v>38.75</v>
      </c>
      <c r="K92" s="25">
        <v>0</v>
      </c>
      <c r="L92" s="25">
        <v>24.73</v>
      </c>
      <c r="M92" s="25">
        <v>6.08</v>
      </c>
      <c r="N92" s="25">
        <v>101.0106</v>
      </c>
      <c r="O92" s="24">
        <v>1.6999999999999999E-3</v>
      </c>
      <c r="P92" s="24">
        <v>2.052</v>
      </c>
      <c r="Q92" s="24">
        <v>0.63700000000000001</v>
      </c>
      <c r="R92" s="24">
        <v>5.8799999999999998E-2</v>
      </c>
      <c r="S92" s="24">
        <v>4.0000000000000002E-4</v>
      </c>
      <c r="T92" s="24">
        <v>2.5999999999999999E-3</v>
      </c>
      <c r="U92" s="24">
        <v>2.9689999999999999</v>
      </c>
      <c r="V92" s="24">
        <v>0</v>
      </c>
      <c r="W92" s="24">
        <v>1.585</v>
      </c>
      <c r="X92" s="24">
        <v>0.69499999999999995</v>
      </c>
      <c r="Y92" s="24">
        <v>8.0015000000000001</v>
      </c>
      <c r="Z92" s="25">
        <f t="shared" si="7"/>
        <v>0.53262988104039244</v>
      </c>
      <c r="AA92" s="25">
        <f t="shared" si="8"/>
        <v>0.23355064184420996</v>
      </c>
      <c r="AB92" s="25">
        <f t="shared" si="9"/>
        <v>0.21406008468311044</v>
      </c>
      <c r="AC92" s="25">
        <f t="shared" si="10"/>
        <v>1.9759392432287116E-2</v>
      </c>
      <c r="AD92" s="25">
        <f t="shared" si="11"/>
        <v>0.69517543859649122</v>
      </c>
    </row>
    <row r="93" spans="1:30" x14ac:dyDescent="0.2">
      <c r="A93" s="24" t="s">
        <v>211</v>
      </c>
      <c r="B93" s="12">
        <v>349.33582487056952</v>
      </c>
      <c r="C93" s="12">
        <v>-208.03119053201777</v>
      </c>
      <c r="D93" s="25">
        <v>0</v>
      </c>
      <c r="E93" s="25">
        <v>22.47</v>
      </c>
      <c r="F93" s="25">
        <v>7.13</v>
      </c>
      <c r="G93" s="25">
        <v>0.96870000000000001</v>
      </c>
      <c r="H93" s="25">
        <v>2.3900000000000001E-2</v>
      </c>
      <c r="I93" s="25">
        <v>3.0499999999999999E-2</v>
      </c>
      <c r="J93" s="25">
        <v>38.53</v>
      </c>
      <c r="K93" s="25">
        <v>0</v>
      </c>
      <c r="L93" s="25">
        <v>25.15</v>
      </c>
      <c r="M93" s="25">
        <v>6.38</v>
      </c>
      <c r="N93" s="25">
        <v>100.68300000000001</v>
      </c>
      <c r="O93" s="24">
        <v>0</v>
      </c>
      <c r="P93" s="24">
        <v>2.0390000000000001</v>
      </c>
      <c r="Q93" s="24">
        <v>0.58799999999999997</v>
      </c>
      <c r="R93" s="24">
        <v>6.3200000000000006E-2</v>
      </c>
      <c r="S93" s="24">
        <v>3.5999999999999999E-3</v>
      </c>
      <c r="T93" s="24">
        <v>1.8E-3</v>
      </c>
      <c r="U93" s="24">
        <v>2.9670000000000001</v>
      </c>
      <c r="V93" s="24">
        <v>0</v>
      </c>
      <c r="W93" s="24">
        <v>1.619</v>
      </c>
      <c r="X93" s="24">
        <v>0.73199999999999998</v>
      </c>
      <c r="Y93" s="24">
        <v>8.0136000000000003</v>
      </c>
      <c r="Z93" s="25">
        <f t="shared" si="7"/>
        <v>0.53927120111917926</v>
      </c>
      <c r="AA93" s="25">
        <f t="shared" si="8"/>
        <v>0.24382119778828856</v>
      </c>
      <c r="AB93" s="25">
        <f t="shared" si="9"/>
        <v>0.19585637199387113</v>
      </c>
      <c r="AC93" s="25">
        <f t="shared" si="10"/>
        <v>2.1051229098660983E-2</v>
      </c>
      <c r="AD93" s="25">
        <f t="shared" si="11"/>
        <v>0.68864313058273074</v>
      </c>
    </row>
    <row r="94" spans="1:30" x14ac:dyDescent="0.2">
      <c r="A94" s="24" t="s">
        <v>212</v>
      </c>
      <c r="B94" s="12">
        <v>372.7665738982904</v>
      </c>
      <c r="C94" s="12">
        <v>-184.60044150429692</v>
      </c>
      <c r="D94" s="25">
        <v>3.4000000000000002E-2</v>
      </c>
      <c r="E94" s="25">
        <v>22.69</v>
      </c>
      <c r="F94" s="25">
        <v>7.72</v>
      </c>
      <c r="G94" s="25">
        <v>0.90790000000000004</v>
      </c>
      <c r="H94" s="25">
        <v>3.3300000000000003E-2</v>
      </c>
      <c r="I94" s="25">
        <v>4.4200000000000003E-2</v>
      </c>
      <c r="J94" s="25">
        <v>38.21</v>
      </c>
      <c r="K94" s="25">
        <v>2.9999999999999997E-4</v>
      </c>
      <c r="L94" s="25">
        <v>24.76</v>
      </c>
      <c r="M94" s="25">
        <v>6.18</v>
      </c>
      <c r="N94" s="25">
        <v>100.5797</v>
      </c>
      <c r="O94" s="24">
        <v>2.0999999999999999E-3</v>
      </c>
      <c r="P94" s="24">
        <v>2.0619999999999998</v>
      </c>
      <c r="Q94" s="24">
        <v>0.63800000000000001</v>
      </c>
      <c r="R94" s="24">
        <v>5.9299999999999999E-2</v>
      </c>
      <c r="S94" s="24">
        <v>5.0000000000000001E-3</v>
      </c>
      <c r="T94" s="24">
        <v>2.5999999999999999E-3</v>
      </c>
      <c r="U94" s="24">
        <v>2.9460000000000002</v>
      </c>
      <c r="V94" s="24">
        <v>0</v>
      </c>
      <c r="W94" s="24">
        <v>1.597</v>
      </c>
      <c r="X94" s="24">
        <v>0.71099999999999997</v>
      </c>
      <c r="Y94" s="24">
        <v>8.0230999999999995</v>
      </c>
      <c r="Z94" s="25">
        <f t="shared" si="7"/>
        <v>0.53139453631916955</v>
      </c>
      <c r="AA94" s="25">
        <f t="shared" si="8"/>
        <v>0.23658203839882874</v>
      </c>
      <c r="AB94" s="25">
        <f t="shared" si="9"/>
        <v>0.21229161814128375</v>
      </c>
      <c r="AC94" s="25">
        <f t="shared" si="10"/>
        <v>1.9731807140718066E-2</v>
      </c>
      <c r="AD94" s="25">
        <f t="shared" si="11"/>
        <v>0.69194107452339693</v>
      </c>
    </row>
    <row r="95" spans="1:30" x14ac:dyDescent="0.2">
      <c r="A95" s="24" t="s">
        <v>213</v>
      </c>
      <c r="B95" s="12">
        <v>404.9690582745024</v>
      </c>
      <c r="C95" s="12">
        <v>-152.3979571280849</v>
      </c>
      <c r="D95" s="25">
        <v>2.6800000000000001E-2</v>
      </c>
      <c r="E95" s="25">
        <v>22.67</v>
      </c>
      <c r="F95" s="25">
        <v>8.0399999999999991</v>
      </c>
      <c r="G95" s="25">
        <v>0.74060000000000004</v>
      </c>
      <c r="H95" s="25">
        <v>1.1900000000000001E-2</v>
      </c>
      <c r="I95" s="25">
        <v>2.4400000000000002E-2</v>
      </c>
      <c r="J95" s="25">
        <v>38.42</v>
      </c>
      <c r="K95" s="25">
        <v>0</v>
      </c>
      <c r="L95" s="25">
        <v>24.7</v>
      </c>
      <c r="M95" s="25">
        <v>6</v>
      </c>
      <c r="N95" s="25">
        <v>100.6336</v>
      </c>
      <c r="O95" s="24">
        <v>1.6000000000000001E-3</v>
      </c>
      <c r="P95" s="24">
        <v>2.0579999999999998</v>
      </c>
      <c r="Q95" s="24">
        <v>0.66300000000000003</v>
      </c>
      <c r="R95" s="24">
        <v>4.8300000000000003E-2</v>
      </c>
      <c r="S95" s="24">
        <v>1.8E-3</v>
      </c>
      <c r="T95" s="24">
        <v>1.4E-3</v>
      </c>
      <c r="U95" s="24">
        <v>2.9580000000000002</v>
      </c>
      <c r="V95" s="24">
        <v>0</v>
      </c>
      <c r="W95" s="24">
        <v>1.591</v>
      </c>
      <c r="X95" s="24">
        <v>0.68799999999999994</v>
      </c>
      <c r="Y95" s="24">
        <v>8.0111000000000008</v>
      </c>
      <c r="Z95" s="25">
        <f t="shared" si="7"/>
        <v>0.53205364010299983</v>
      </c>
      <c r="AA95" s="25">
        <f t="shared" si="8"/>
        <v>0.23007724977427016</v>
      </c>
      <c r="AB95" s="25">
        <f t="shared" si="9"/>
        <v>0.2217168845935191</v>
      </c>
      <c r="AC95" s="25">
        <f t="shared" si="10"/>
        <v>1.6152225529211119E-2</v>
      </c>
      <c r="AD95" s="25">
        <f t="shared" si="11"/>
        <v>0.69811320754716988</v>
      </c>
    </row>
    <row r="96" spans="1:30" x14ac:dyDescent="0.2">
      <c r="A96" s="24" t="s">
        <v>214</v>
      </c>
      <c r="B96" s="12">
        <v>439.10115460625337</v>
      </c>
      <c r="C96" s="12">
        <v>-118.26586079633395</v>
      </c>
      <c r="D96" s="25">
        <v>0</v>
      </c>
      <c r="E96" s="25">
        <v>22.51</v>
      </c>
      <c r="F96" s="25">
        <v>9.4</v>
      </c>
      <c r="G96" s="25">
        <v>0.67589999999999995</v>
      </c>
      <c r="H96" s="25">
        <v>7.1000000000000004E-3</v>
      </c>
      <c r="I96" s="25">
        <v>4.1000000000000002E-2</v>
      </c>
      <c r="J96" s="25">
        <v>38.42</v>
      </c>
      <c r="K96" s="25">
        <v>5.9999999999999995E-4</v>
      </c>
      <c r="L96" s="25">
        <v>23.67</v>
      </c>
      <c r="M96" s="25">
        <v>5.57</v>
      </c>
      <c r="N96" s="25">
        <v>100.2945</v>
      </c>
      <c r="O96" s="24">
        <v>0</v>
      </c>
      <c r="P96" s="24">
        <v>2.048</v>
      </c>
      <c r="Q96" s="24">
        <v>0.77800000000000002</v>
      </c>
      <c r="R96" s="24">
        <v>4.4200000000000003E-2</v>
      </c>
      <c r="S96" s="24">
        <v>1.1000000000000001E-3</v>
      </c>
      <c r="T96" s="24">
        <v>2.3999999999999998E-3</v>
      </c>
      <c r="U96" s="24">
        <v>2.9660000000000002</v>
      </c>
      <c r="V96" s="24">
        <v>1E-4</v>
      </c>
      <c r="W96" s="24">
        <v>1.528</v>
      </c>
      <c r="X96" s="24">
        <v>0.64100000000000001</v>
      </c>
      <c r="Y96" s="24">
        <v>8.0089000000000006</v>
      </c>
      <c r="Z96" s="25">
        <f t="shared" si="7"/>
        <v>0.51083177320139073</v>
      </c>
      <c r="AA96" s="25">
        <f t="shared" si="8"/>
        <v>0.21429526611393421</v>
      </c>
      <c r="AB96" s="25">
        <f t="shared" si="9"/>
        <v>0.26009628242845678</v>
      </c>
      <c r="AC96" s="25">
        <f t="shared" si="10"/>
        <v>1.4776678256218241E-2</v>
      </c>
      <c r="AD96" s="25">
        <f t="shared" si="11"/>
        <v>0.70447210696173357</v>
      </c>
    </row>
    <row r="97" spans="1:30" x14ac:dyDescent="0.2">
      <c r="A97" s="24" t="s">
        <v>215</v>
      </c>
      <c r="B97" s="12">
        <v>468.17003831375359</v>
      </c>
      <c r="C97" s="12">
        <v>-89.196977088833734</v>
      </c>
      <c r="D97" s="25">
        <v>0</v>
      </c>
      <c r="E97" s="25">
        <v>22.54</v>
      </c>
      <c r="F97" s="25">
        <v>8.7200000000000006</v>
      </c>
      <c r="G97" s="25">
        <v>0.63919999999999999</v>
      </c>
      <c r="H97" s="25">
        <v>0</v>
      </c>
      <c r="I97" s="25">
        <v>4.6600000000000003E-2</v>
      </c>
      <c r="J97" s="25">
        <v>38.64</v>
      </c>
      <c r="K97" s="25">
        <v>0</v>
      </c>
      <c r="L97" s="25">
        <v>24.32</v>
      </c>
      <c r="M97" s="25">
        <v>5.87</v>
      </c>
      <c r="N97" s="25">
        <v>100.7757</v>
      </c>
      <c r="O97" s="24">
        <v>0</v>
      </c>
      <c r="P97" s="24">
        <v>2.0409999999999999</v>
      </c>
      <c r="Q97" s="24">
        <v>0.71799999999999997</v>
      </c>
      <c r="R97" s="24">
        <v>4.1599999999999998E-2</v>
      </c>
      <c r="S97" s="24">
        <v>0</v>
      </c>
      <c r="T97" s="24">
        <v>2.7000000000000001E-3</v>
      </c>
      <c r="U97" s="24">
        <v>2.9689999999999999</v>
      </c>
      <c r="V97" s="24">
        <v>0</v>
      </c>
      <c r="W97" s="24">
        <v>1.5629999999999999</v>
      </c>
      <c r="X97" s="24">
        <v>0.67200000000000004</v>
      </c>
      <c r="Y97" s="24">
        <v>8.0073000000000008</v>
      </c>
      <c r="Z97" s="25">
        <f t="shared" si="7"/>
        <v>0.5219394910839511</v>
      </c>
      <c r="AA97" s="25">
        <f t="shared" si="8"/>
        <v>0.22440392706872375</v>
      </c>
      <c r="AB97" s="25">
        <f t="shared" si="9"/>
        <v>0.23976491017164228</v>
      </c>
      <c r="AC97" s="25">
        <f t="shared" si="10"/>
        <v>1.3891671675682895E-2</v>
      </c>
      <c r="AD97" s="25">
        <f t="shared" si="11"/>
        <v>0.69932885906040265</v>
      </c>
    </row>
    <row r="98" spans="1:30" x14ac:dyDescent="0.2">
      <c r="A98" s="24" t="s">
        <v>216</v>
      </c>
      <c r="B98" s="12">
        <v>472.64217426875149</v>
      </c>
      <c r="C98" s="12">
        <v>-84.724841133835838</v>
      </c>
      <c r="D98" s="25">
        <v>4.0000000000000001E-3</v>
      </c>
      <c r="E98" s="25">
        <v>22.64</v>
      </c>
      <c r="F98" s="25">
        <v>8.5299999999999994</v>
      </c>
      <c r="G98" s="25">
        <v>0.59350000000000003</v>
      </c>
      <c r="H98" s="25">
        <v>0</v>
      </c>
      <c r="I98" s="25">
        <v>5.16E-2</v>
      </c>
      <c r="J98" s="25">
        <v>38.369999999999997</v>
      </c>
      <c r="K98" s="25">
        <v>0</v>
      </c>
      <c r="L98" s="25">
        <v>24.45</v>
      </c>
      <c r="M98" s="25">
        <v>5.9</v>
      </c>
      <c r="N98" s="25">
        <v>100.539</v>
      </c>
      <c r="O98" s="24">
        <v>2.0000000000000001E-4</v>
      </c>
      <c r="P98" s="24">
        <v>2.056</v>
      </c>
      <c r="Q98" s="24">
        <v>0.70399999999999996</v>
      </c>
      <c r="R98" s="24">
        <v>3.8699999999999998E-2</v>
      </c>
      <c r="S98" s="24">
        <v>0</v>
      </c>
      <c r="T98" s="24">
        <v>3.0000000000000001E-3</v>
      </c>
      <c r="U98" s="24">
        <v>2.9569999999999999</v>
      </c>
      <c r="V98" s="24">
        <v>0</v>
      </c>
      <c r="W98" s="24">
        <v>1.5760000000000001</v>
      </c>
      <c r="X98" s="24">
        <v>0.67700000000000005</v>
      </c>
      <c r="Y98" s="24">
        <v>8.0119000000000007</v>
      </c>
      <c r="Z98" s="25">
        <f t="shared" si="7"/>
        <v>0.52608739192843068</v>
      </c>
      <c r="AA98" s="25">
        <f t="shared" si="8"/>
        <v>0.22599058650732717</v>
      </c>
      <c r="AB98" s="25">
        <f t="shared" si="9"/>
        <v>0.23500350502386755</v>
      </c>
      <c r="AC98" s="25">
        <f t="shared" si="10"/>
        <v>1.2918516540374536E-2</v>
      </c>
      <c r="AD98" s="25">
        <f t="shared" si="11"/>
        <v>0.69951176209498445</v>
      </c>
    </row>
    <row r="99" spans="1:30" x14ac:dyDescent="0.2">
      <c r="A99" s="24" t="s">
        <v>217</v>
      </c>
      <c r="B99" s="12">
        <v>514.04265735772162</v>
      </c>
      <c r="C99" s="12">
        <v>-43.324358044865718</v>
      </c>
      <c r="D99" s="25">
        <v>0</v>
      </c>
      <c r="E99" s="25">
        <v>22.68</v>
      </c>
      <c r="F99" s="25">
        <v>7.61</v>
      </c>
      <c r="G99" s="25">
        <v>0.57840000000000003</v>
      </c>
      <c r="H99" s="25">
        <v>0</v>
      </c>
      <c r="I99" s="25">
        <v>4.1300000000000003E-2</v>
      </c>
      <c r="J99" s="25">
        <v>38.380000000000003</v>
      </c>
      <c r="K99" s="25">
        <v>0</v>
      </c>
      <c r="L99" s="25">
        <v>25</v>
      </c>
      <c r="M99" s="25">
        <v>6.15</v>
      </c>
      <c r="N99" s="25">
        <v>100.4397</v>
      </c>
      <c r="O99" s="24">
        <v>0</v>
      </c>
      <c r="P99" s="24">
        <v>2.0609999999999999</v>
      </c>
      <c r="Q99" s="24">
        <v>0.629</v>
      </c>
      <c r="R99" s="24">
        <v>3.78E-2</v>
      </c>
      <c r="S99" s="24">
        <v>0</v>
      </c>
      <c r="T99" s="24">
        <v>2.3999999999999998E-3</v>
      </c>
      <c r="U99" s="24">
        <v>2.9590000000000001</v>
      </c>
      <c r="V99" s="24">
        <v>0</v>
      </c>
      <c r="W99" s="24">
        <v>1.6120000000000001</v>
      </c>
      <c r="X99" s="24">
        <v>0.70699999999999996</v>
      </c>
      <c r="Y99" s="24">
        <v>8.0083000000000002</v>
      </c>
      <c r="Z99" s="25">
        <f t="shared" si="7"/>
        <v>0.53988880701989428</v>
      </c>
      <c r="AA99" s="25">
        <f t="shared" si="8"/>
        <v>0.23678746064706277</v>
      </c>
      <c r="AB99" s="25">
        <f t="shared" si="9"/>
        <v>0.21066380869448723</v>
      </c>
      <c r="AC99" s="25">
        <f t="shared" si="10"/>
        <v>1.265992363855583E-2</v>
      </c>
      <c r="AD99" s="25">
        <f t="shared" si="11"/>
        <v>0.69512721000431221</v>
      </c>
    </row>
    <row r="100" spans="1:30" x14ac:dyDescent="0.2">
      <c r="A100" s="24" t="s">
        <v>218</v>
      </c>
      <c r="B100" s="12">
        <v>557.3670154025873</v>
      </c>
      <c r="C100" s="12">
        <v>0</v>
      </c>
      <c r="D100" s="25">
        <v>0</v>
      </c>
      <c r="E100" s="25">
        <v>22.66</v>
      </c>
      <c r="F100" s="25">
        <v>8.9600000000000009</v>
      </c>
      <c r="G100" s="25">
        <v>0.49249999999999999</v>
      </c>
      <c r="H100" s="25">
        <v>3.7699999999999997E-2</v>
      </c>
      <c r="I100" s="25">
        <v>1.1999999999999999E-3</v>
      </c>
      <c r="J100" s="25">
        <v>38.36</v>
      </c>
      <c r="K100" s="25">
        <v>1.8E-3</v>
      </c>
      <c r="L100" s="25">
        <v>23.69</v>
      </c>
      <c r="M100" s="25">
        <v>5.7</v>
      </c>
      <c r="N100" s="25">
        <v>99.903300000000002</v>
      </c>
      <c r="O100" s="24">
        <v>0</v>
      </c>
      <c r="P100" s="24">
        <v>2.0659999999999998</v>
      </c>
      <c r="Q100" s="24">
        <v>0.74299999999999999</v>
      </c>
      <c r="R100" s="24">
        <v>3.2300000000000002E-2</v>
      </c>
      <c r="S100" s="24">
        <v>5.7000000000000002E-3</v>
      </c>
      <c r="T100" s="24">
        <v>1E-4</v>
      </c>
      <c r="U100" s="24">
        <v>2.9670000000000001</v>
      </c>
      <c r="V100" s="24">
        <v>2.0000000000000001E-4</v>
      </c>
      <c r="W100" s="24">
        <v>1.532</v>
      </c>
      <c r="X100" s="24">
        <v>0.65700000000000003</v>
      </c>
      <c r="Y100" s="24">
        <v>8.0032999999999994</v>
      </c>
      <c r="Z100" s="25">
        <f t="shared" si="7"/>
        <v>0.51681678642512563</v>
      </c>
      <c r="AA100" s="25">
        <f t="shared" si="8"/>
        <v>0.22163748608440442</v>
      </c>
      <c r="AB100" s="25">
        <f t="shared" si="9"/>
        <v>0.25064939446074957</v>
      </c>
      <c r="AC100" s="25">
        <f t="shared" si="10"/>
        <v>1.0896333029720338E-2</v>
      </c>
      <c r="AD100" s="25">
        <f t="shared" si="11"/>
        <v>0.69986295111923247</v>
      </c>
    </row>
    <row r="101" spans="1:30" x14ac:dyDescent="0.2">
      <c r="D101" s="25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Z101" s="25"/>
      <c r="AA101" s="25"/>
      <c r="AB101" s="25"/>
      <c r="AC101" s="25"/>
      <c r="AD101" s="25"/>
    </row>
    <row r="102" spans="1:30" x14ac:dyDescent="0.2">
      <c r="A102" s="26" t="s">
        <v>219</v>
      </c>
      <c r="B102" s="26">
        <v>0</v>
      </c>
      <c r="C102" s="27">
        <v>-227.59592237107452</v>
      </c>
      <c r="D102" s="26">
        <v>3.0499999999999999E-2</v>
      </c>
      <c r="E102" s="26">
        <v>22.35</v>
      </c>
      <c r="F102" s="26">
        <v>6.92</v>
      </c>
      <c r="G102" s="26">
        <v>1.69</v>
      </c>
      <c r="H102" s="26">
        <v>4.7999999999999996E-3</v>
      </c>
      <c r="I102" s="26">
        <v>5.5199999999999999E-2</v>
      </c>
      <c r="J102" s="26">
        <v>37.97</v>
      </c>
      <c r="K102" s="26">
        <v>0</v>
      </c>
      <c r="L102" s="26">
        <v>25.41</v>
      </c>
      <c r="M102" s="26">
        <v>5.87</v>
      </c>
      <c r="N102" s="26">
        <v>100.3005</v>
      </c>
      <c r="O102" s="26">
        <v>1.9E-3</v>
      </c>
      <c r="P102" s="26">
        <v>2.0470000000000002</v>
      </c>
      <c r="Q102" s="26">
        <v>0.57599999999999996</v>
      </c>
      <c r="R102" s="26">
        <v>0.111</v>
      </c>
      <c r="S102" s="26">
        <v>6.9999999999999999E-4</v>
      </c>
      <c r="T102" s="26">
        <v>3.2000000000000002E-3</v>
      </c>
      <c r="U102" s="26">
        <v>2.95</v>
      </c>
      <c r="V102" s="26">
        <v>0</v>
      </c>
      <c r="W102" s="26">
        <v>1.651</v>
      </c>
      <c r="X102" s="26">
        <v>0.68</v>
      </c>
      <c r="Y102" s="26">
        <v>8.0208999999999993</v>
      </c>
      <c r="Z102" s="25">
        <f t="shared" ref="Z102:Z127" si="13">W102/(W102+X102+R102+Q102)</f>
        <v>0.5470510271703114</v>
      </c>
      <c r="AA102" s="25">
        <f t="shared" ref="AA102:AA127" si="14">X102/(X102+W102+R102+Q102)</f>
        <v>0.22531477799867461</v>
      </c>
      <c r="AB102" s="25">
        <f t="shared" ref="AB102:AB127" si="15">Q102/(Q102+R102+W102+X102)</f>
        <v>0.19085487077534788</v>
      </c>
      <c r="AC102" s="25">
        <f t="shared" ref="AC102:AC127" si="16">R102/(Q102+R102+W102+X102)</f>
        <v>3.6779324055666002E-2</v>
      </c>
      <c r="AD102" s="25">
        <f t="shared" ref="AD102:AD127" si="17">W102/(W102+X102)</f>
        <v>0.70827970827970832</v>
      </c>
    </row>
    <row r="103" spans="1:30" x14ac:dyDescent="0.2">
      <c r="A103" s="26" t="s">
        <v>220</v>
      </c>
      <c r="B103" s="28">
        <v>25.709920264363554</v>
      </c>
      <c r="C103" s="27">
        <v>-201.88600210671098</v>
      </c>
      <c r="D103" s="26">
        <v>0.1208</v>
      </c>
      <c r="E103" s="26">
        <v>22.48</v>
      </c>
      <c r="F103" s="26">
        <v>6.84</v>
      </c>
      <c r="G103" s="26">
        <v>1.32</v>
      </c>
      <c r="H103" s="26">
        <v>2.3999999999999998E-3</v>
      </c>
      <c r="I103" s="26">
        <v>4.1200000000000001E-2</v>
      </c>
      <c r="J103" s="26">
        <v>38.1</v>
      </c>
      <c r="K103" s="26">
        <v>0</v>
      </c>
      <c r="L103" s="26">
        <v>25.66</v>
      </c>
      <c r="M103" s="26">
        <v>6.17</v>
      </c>
      <c r="N103" s="26">
        <v>100.7343</v>
      </c>
      <c r="O103" s="26">
        <v>7.4000000000000003E-3</v>
      </c>
      <c r="P103" s="26">
        <v>2.048</v>
      </c>
      <c r="Q103" s="26">
        <v>0.56699999999999995</v>
      </c>
      <c r="R103" s="26">
        <v>8.5999999999999993E-2</v>
      </c>
      <c r="S103" s="26">
        <v>4.0000000000000002E-4</v>
      </c>
      <c r="T103" s="26">
        <v>2.3999999999999998E-3</v>
      </c>
      <c r="U103" s="26">
        <v>2.9449999999999998</v>
      </c>
      <c r="V103" s="26">
        <v>0</v>
      </c>
      <c r="W103" s="26">
        <v>1.6579999999999999</v>
      </c>
      <c r="X103" s="26">
        <v>0.71099999999999997</v>
      </c>
      <c r="Y103" s="26">
        <v>8.0251999999999999</v>
      </c>
      <c r="Z103" s="25">
        <f t="shared" si="13"/>
        <v>0.5486432825943085</v>
      </c>
      <c r="AA103" s="25">
        <f t="shared" si="14"/>
        <v>0.23527465254798149</v>
      </c>
      <c r="AB103" s="25">
        <f t="shared" si="15"/>
        <v>0.18762409000661812</v>
      </c>
      <c r="AC103" s="25">
        <f t="shared" si="16"/>
        <v>2.8457974851091992E-2</v>
      </c>
      <c r="AD103" s="25">
        <f t="shared" si="17"/>
        <v>0.69987336428872948</v>
      </c>
    </row>
    <row r="104" spans="1:30" x14ac:dyDescent="0.2">
      <c r="A104" s="26" t="s">
        <v>221</v>
      </c>
      <c r="B104" s="28">
        <v>51.205017832326234</v>
      </c>
      <c r="C104" s="27">
        <v>-176.39090453874829</v>
      </c>
      <c r="D104" s="26">
        <v>2.1700000000000001E-2</v>
      </c>
      <c r="E104" s="26">
        <v>22.52</v>
      </c>
      <c r="F104" s="26">
        <v>6.94</v>
      </c>
      <c r="G104" s="26">
        <v>0.95550000000000002</v>
      </c>
      <c r="H104" s="26">
        <v>0</v>
      </c>
      <c r="I104" s="26">
        <v>3.2199999999999999E-2</v>
      </c>
      <c r="J104" s="26">
        <v>38.04</v>
      </c>
      <c r="K104" s="26">
        <v>0</v>
      </c>
      <c r="L104" s="26">
        <v>25.85</v>
      </c>
      <c r="M104" s="26">
        <v>6.19</v>
      </c>
      <c r="N104" s="26">
        <v>100.5493</v>
      </c>
      <c r="O104" s="26">
        <v>1.2999999999999999E-3</v>
      </c>
      <c r="P104" s="26">
        <v>2.0539999999999998</v>
      </c>
      <c r="Q104" s="26">
        <v>0.57499999999999996</v>
      </c>
      <c r="R104" s="26">
        <v>6.2600000000000003E-2</v>
      </c>
      <c r="S104" s="26">
        <v>0</v>
      </c>
      <c r="T104" s="26">
        <v>1.9E-3</v>
      </c>
      <c r="U104" s="26">
        <v>2.944</v>
      </c>
      <c r="V104" s="26">
        <v>0</v>
      </c>
      <c r="W104" s="26">
        <v>1.673</v>
      </c>
      <c r="X104" s="26">
        <v>0.71399999999999997</v>
      </c>
      <c r="Y104" s="26">
        <v>8.0258000000000003</v>
      </c>
      <c r="Z104" s="25">
        <f t="shared" si="13"/>
        <v>0.55313099252793752</v>
      </c>
      <c r="AA104" s="25">
        <f t="shared" si="14"/>
        <v>0.23606427296171389</v>
      </c>
      <c r="AB104" s="25">
        <f t="shared" si="15"/>
        <v>0.19010778284731863</v>
      </c>
      <c r="AC104" s="25">
        <f t="shared" si="16"/>
        <v>2.0696951663029824E-2</v>
      </c>
      <c r="AD104" s="25">
        <f t="shared" si="17"/>
        <v>0.70087976539589447</v>
      </c>
    </row>
    <row r="105" spans="1:30" x14ac:dyDescent="0.2">
      <c r="A105" s="26" t="s">
        <v>222</v>
      </c>
      <c r="B105" s="28">
        <v>76.914938096689781</v>
      </c>
      <c r="C105" s="27">
        <v>-150.68098427438474</v>
      </c>
      <c r="D105" s="26">
        <v>4.2799999999999998E-2</v>
      </c>
      <c r="E105" s="26">
        <v>22.45</v>
      </c>
      <c r="F105" s="26">
        <v>7.02</v>
      </c>
      <c r="G105" s="26">
        <v>0.99690000000000001</v>
      </c>
      <c r="H105" s="26">
        <v>4.07E-2</v>
      </c>
      <c r="I105" s="26">
        <v>1.3599999999999999E-2</v>
      </c>
      <c r="J105" s="26">
        <v>38.1</v>
      </c>
      <c r="K105" s="26">
        <v>0</v>
      </c>
      <c r="L105" s="26">
        <v>25.49</v>
      </c>
      <c r="M105" s="26">
        <v>6.28</v>
      </c>
      <c r="N105" s="26">
        <v>100.43389999999999</v>
      </c>
      <c r="O105" s="26">
        <v>2.5999999999999999E-3</v>
      </c>
      <c r="P105" s="26">
        <v>2.048</v>
      </c>
      <c r="Q105" s="26">
        <v>0.58299999999999996</v>
      </c>
      <c r="R105" s="26">
        <v>6.54E-2</v>
      </c>
      <c r="S105" s="26">
        <v>6.1000000000000004E-3</v>
      </c>
      <c r="T105" s="26">
        <v>8.0000000000000004E-4</v>
      </c>
      <c r="U105" s="26">
        <v>2.9489999999999998</v>
      </c>
      <c r="V105" s="26">
        <v>0</v>
      </c>
      <c r="W105" s="26">
        <v>1.65</v>
      </c>
      <c r="X105" s="26">
        <v>0.72399999999999998</v>
      </c>
      <c r="Y105" s="26">
        <v>8.0289000000000001</v>
      </c>
      <c r="Z105" s="25">
        <f t="shared" si="13"/>
        <v>0.5459237691900477</v>
      </c>
      <c r="AA105" s="25">
        <f t="shared" si="14"/>
        <v>0.23954473266278459</v>
      </c>
      <c r="AB105" s="25">
        <f t="shared" si="15"/>
        <v>0.19289306511381682</v>
      </c>
      <c r="AC105" s="25">
        <f t="shared" si="16"/>
        <v>2.1638433033350977E-2</v>
      </c>
      <c r="AD105" s="25">
        <f t="shared" si="17"/>
        <v>0.69502948609941029</v>
      </c>
    </row>
    <row r="106" spans="1:30" x14ac:dyDescent="0.2">
      <c r="A106" s="26" t="s">
        <v>223</v>
      </c>
      <c r="B106" s="28">
        <v>102.62485836105984</v>
      </c>
      <c r="C106" s="27">
        <v>-124.97106401001469</v>
      </c>
      <c r="D106" s="26">
        <v>2.1399999999999999E-2</v>
      </c>
      <c r="E106" s="26">
        <v>22.45</v>
      </c>
      <c r="F106" s="26">
        <v>9.6300000000000008</v>
      </c>
      <c r="G106" s="26">
        <v>0.62039999999999995</v>
      </c>
      <c r="H106" s="26">
        <v>3.78E-2</v>
      </c>
      <c r="I106" s="26">
        <v>2.2800000000000001E-2</v>
      </c>
      <c r="J106" s="26">
        <v>38.130000000000003</v>
      </c>
      <c r="K106" s="26">
        <v>0</v>
      </c>
      <c r="L106" s="26">
        <v>23.69</v>
      </c>
      <c r="M106" s="26">
        <v>5.48</v>
      </c>
      <c r="N106" s="26">
        <v>100.08240000000001</v>
      </c>
      <c r="O106" s="26">
        <v>1.2999999999999999E-3</v>
      </c>
      <c r="P106" s="26">
        <v>2.0499999999999998</v>
      </c>
      <c r="Q106" s="26">
        <v>0.8</v>
      </c>
      <c r="R106" s="26">
        <v>4.07E-2</v>
      </c>
      <c r="S106" s="26">
        <v>5.7000000000000002E-3</v>
      </c>
      <c r="T106" s="26">
        <v>1.2999999999999999E-3</v>
      </c>
      <c r="U106" s="26">
        <v>2.9540000000000002</v>
      </c>
      <c r="V106" s="26">
        <v>0</v>
      </c>
      <c r="W106" s="26">
        <v>1.5349999999999999</v>
      </c>
      <c r="X106" s="26">
        <v>0.63300000000000001</v>
      </c>
      <c r="Y106" s="26">
        <v>8.0210000000000008</v>
      </c>
      <c r="Z106" s="25">
        <f t="shared" si="13"/>
        <v>0.51018712400704613</v>
      </c>
      <c r="AA106" s="25">
        <f t="shared" si="14"/>
        <v>0.21038986937880147</v>
      </c>
      <c r="AB106" s="25">
        <f t="shared" si="15"/>
        <v>0.26589556951507298</v>
      </c>
      <c r="AC106" s="25">
        <f t="shared" si="16"/>
        <v>1.3527437099079337E-2</v>
      </c>
      <c r="AD106" s="25">
        <f t="shared" si="17"/>
        <v>0.70802583025830246</v>
      </c>
    </row>
    <row r="107" spans="1:30" x14ac:dyDescent="0.2">
      <c r="A107" s="26" t="s">
        <v>224</v>
      </c>
      <c r="B107" s="28">
        <v>128.11995592902252</v>
      </c>
      <c r="C107" s="27">
        <v>-99.475966442051998</v>
      </c>
      <c r="D107" s="26">
        <v>8.7599999999999997E-2</v>
      </c>
      <c r="E107" s="26">
        <v>22.5</v>
      </c>
      <c r="F107" s="26">
        <v>10.08</v>
      </c>
      <c r="G107" s="26">
        <v>0.57650000000000001</v>
      </c>
      <c r="H107" s="26">
        <v>2.3999999999999998E-3</v>
      </c>
      <c r="I107" s="26">
        <v>4.4400000000000002E-2</v>
      </c>
      <c r="J107" s="26">
        <v>38.75</v>
      </c>
      <c r="K107" s="26">
        <v>0</v>
      </c>
      <c r="L107" s="26">
        <v>23.67</v>
      </c>
      <c r="M107" s="26">
        <v>5.44</v>
      </c>
      <c r="N107" s="26">
        <v>101.1508</v>
      </c>
      <c r="O107" s="26">
        <v>5.3E-3</v>
      </c>
      <c r="P107" s="26">
        <v>2.032</v>
      </c>
      <c r="Q107" s="26">
        <v>0.82699999999999996</v>
      </c>
      <c r="R107" s="26">
        <v>3.7400000000000003E-2</v>
      </c>
      <c r="S107" s="26">
        <v>4.0000000000000002E-4</v>
      </c>
      <c r="T107" s="26">
        <v>2.5999999999999999E-3</v>
      </c>
      <c r="U107" s="26">
        <v>2.9689999999999999</v>
      </c>
      <c r="V107" s="26">
        <v>0</v>
      </c>
      <c r="W107" s="26">
        <v>1.516</v>
      </c>
      <c r="X107" s="26">
        <v>0.621</v>
      </c>
      <c r="Y107" s="26">
        <v>8.0106999999999999</v>
      </c>
      <c r="Z107" s="25">
        <f t="shared" si="13"/>
        <v>0.50509762111014866</v>
      </c>
      <c r="AA107" s="25">
        <f t="shared" si="14"/>
        <v>0.20690344505897248</v>
      </c>
      <c r="AB107" s="25">
        <f t="shared" si="15"/>
        <v>0.27553808222829346</v>
      </c>
      <c r="AC107" s="25">
        <f t="shared" si="16"/>
        <v>1.2460851602585461E-2</v>
      </c>
      <c r="AD107" s="25">
        <f t="shared" si="17"/>
        <v>0.70940570893776322</v>
      </c>
    </row>
    <row r="108" spans="1:30" x14ac:dyDescent="0.2">
      <c r="A108" s="26" t="s">
        <v>225</v>
      </c>
      <c r="B108" s="28">
        <v>153.82987619338607</v>
      </c>
      <c r="C108" s="27">
        <v>-73.766046177688452</v>
      </c>
      <c r="D108" s="26">
        <v>2.64E-2</v>
      </c>
      <c r="E108" s="26">
        <v>22.75</v>
      </c>
      <c r="F108" s="26">
        <v>8.93</v>
      </c>
      <c r="G108" s="26">
        <v>0.56030000000000002</v>
      </c>
      <c r="H108" s="26">
        <v>4.2599999999999999E-2</v>
      </c>
      <c r="I108" s="26">
        <v>1.9900000000000001E-2</v>
      </c>
      <c r="J108" s="26">
        <v>39</v>
      </c>
      <c r="K108" s="26">
        <v>0</v>
      </c>
      <c r="L108" s="26">
        <v>24.57</v>
      </c>
      <c r="M108" s="26">
        <v>5.81</v>
      </c>
      <c r="N108" s="26">
        <v>101.70910000000001</v>
      </c>
      <c r="O108" s="26">
        <v>1.6000000000000001E-3</v>
      </c>
      <c r="P108" s="26">
        <v>2.0419999999999998</v>
      </c>
      <c r="Q108" s="26">
        <v>0.72899999999999998</v>
      </c>
      <c r="R108" s="26">
        <v>3.61E-2</v>
      </c>
      <c r="S108" s="26">
        <v>6.3E-3</v>
      </c>
      <c r="T108" s="26">
        <v>1.1000000000000001E-3</v>
      </c>
      <c r="U108" s="26">
        <v>2.97</v>
      </c>
      <c r="V108" s="26">
        <v>0</v>
      </c>
      <c r="W108" s="26">
        <v>1.5649999999999999</v>
      </c>
      <c r="X108" s="26">
        <v>0.66</v>
      </c>
      <c r="Y108" s="26">
        <v>8.0112000000000005</v>
      </c>
      <c r="Z108" s="25">
        <f t="shared" si="13"/>
        <v>0.52339386642587205</v>
      </c>
      <c r="AA108" s="25">
        <f t="shared" si="14"/>
        <v>0.22072840373231667</v>
      </c>
      <c r="AB108" s="25">
        <f t="shared" si="15"/>
        <v>0.24380455503160428</v>
      </c>
      <c r="AC108" s="25">
        <f t="shared" si="16"/>
        <v>1.2073174810207017E-2</v>
      </c>
      <c r="AD108" s="25">
        <f t="shared" si="17"/>
        <v>0.70337078651685392</v>
      </c>
    </row>
    <row r="109" spans="1:30" x14ac:dyDescent="0.2">
      <c r="A109" s="26" t="s">
        <v>226</v>
      </c>
      <c r="B109" s="28">
        <v>179.53979645774962</v>
      </c>
      <c r="C109" s="27">
        <v>-48.056125913324905</v>
      </c>
      <c r="D109" s="26">
        <v>5.7000000000000002E-2</v>
      </c>
      <c r="E109" s="26">
        <v>22.68</v>
      </c>
      <c r="F109" s="26">
        <v>8.23</v>
      </c>
      <c r="G109" s="26">
        <v>0.53249999999999997</v>
      </c>
      <c r="H109" s="26">
        <v>0</v>
      </c>
      <c r="I109" s="26">
        <v>8.5000000000000006E-3</v>
      </c>
      <c r="J109" s="26">
        <v>38.93</v>
      </c>
      <c r="K109" s="26">
        <v>0</v>
      </c>
      <c r="L109" s="26">
        <v>25.03</v>
      </c>
      <c r="M109" s="26">
        <v>5.97</v>
      </c>
      <c r="N109" s="26">
        <v>101.4379</v>
      </c>
      <c r="O109" s="26">
        <v>3.3999999999999998E-3</v>
      </c>
      <c r="P109" s="26">
        <v>2.0419999999999998</v>
      </c>
      <c r="Q109" s="26">
        <v>0.67300000000000004</v>
      </c>
      <c r="R109" s="26">
        <v>3.44E-2</v>
      </c>
      <c r="S109" s="26">
        <v>0</v>
      </c>
      <c r="T109" s="26">
        <v>5.0000000000000001E-4</v>
      </c>
      <c r="U109" s="26">
        <v>2.9729999999999999</v>
      </c>
      <c r="V109" s="26">
        <v>0</v>
      </c>
      <c r="W109" s="26">
        <v>1.5980000000000001</v>
      </c>
      <c r="X109" s="26">
        <v>0.68</v>
      </c>
      <c r="Y109" s="26">
        <v>8.0043000000000006</v>
      </c>
      <c r="Z109" s="25">
        <f t="shared" si="13"/>
        <v>0.53527165538956256</v>
      </c>
      <c r="AA109" s="25">
        <f t="shared" si="14"/>
        <v>0.22777517250619683</v>
      </c>
      <c r="AB109" s="25">
        <f t="shared" si="15"/>
        <v>0.22543042808333891</v>
      </c>
      <c r="AC109" s="25">
        <f t="shared" si="16"/>
        <v>1.1522744020901721E-2</v>
      </c>
      <c r="AD109" s="25">
        <f t="shared" si="17"/>
        <v>0.70149253731343286</v>
      </c>
    </row>
    <row r="110" spans="1:30" x14ac:dyDescent="0.2">
      <c r="A110" s="26" t="s">
        <v>227</v>
      </c>
      <c r="B110" s="28">
        <v>205.03489402571196</v>
      </c>
      <c r="C110" s="27">
        <v>-22.561028345362562</v>
      </c>
      <c r="D110" s="26">
        <v>3.7999999999999999E-2</v>
      </c>
      <c r="E110" s="26">
        <v>22.69</v>
      </c>
      <c r="F110" s="26">
        <v>7.82</v>
      </c>
      <c r="G110" s="26">
        <v>0.57250000000000001</v>
      </c>
      <c r="H110" s="26">
        <v>4.99E-2</v>
      </c>
      <c r="I110" s="26">
        <v>7.3000000000000001E-3</v>
      </c>
      <c r="J110" s="26">
        <v>38.659999999999997</v>
      </c>
      <c r="K110" s="26">
        <v>0</v>
      </c>
      <c r="L110" s="26">
        <v>25.19</v>
      </c>
      <c r="M110" s="26">
        <v>6.22</v>
      </c>
      <c r="N110" s="26">
        <v>101.24769999999999</v>
      </c>
      <c r="O110" s="26">
        <v>2.3E-3</v>
      </c>
      <c r="P110" s="26">
        <v>2.048</v>
      </c>
      <c r="Q110" s="26">
        <v>0.64100000000000001</v>
      </c>
      <c r="R110" s="26">
        <v>3.7100000000000001E-2</v>
      </c>
      <c r="S110" s="26">
        <v>7.4000000000000003E-3</v>
      </c>
      <c r="T110" s="26">
        <v>4.0000000000000002E-4</v>
      </c>
      <c r="U110" s="26">
        <v>2.96</v>
      </c>
      <c r="V110" s="26">
        <v>0</v>
      </c>
      <c r="W110" s="26">
        <v>1.613</v>
      </c>
      <c r="X110" s="26">
        <v>0.71</v>
      </c>
      <c r="Y110" s="26">
        <v>8.0191999999999997</v>
      </c>
      <c r="Z110" s="25">
        <f t="shared" si="13"/>
        <v>0.53746959448202325</v>
      </c>
      <c r="AA110" s="25">
        <f t="shared" si="14"/>
        <v>0.23657992069574488</v>
      </c>
      <c r="AB110" s="25">
        <f t="shared" si="15"/>
        <v>0.21358835093798939</v>
      </c>
      <c r="AC110" s="25">
        <f t="shared" si="16"/>
        <v>1.2362133884242444E-2</v>
      </c>
      <c r="AD110" s="25">
        <f t="shared" si="17"/>
        <v>0.69436074042186824</v>
      </c>
    </row>
    <row r="111" spans="1:30" x14ac:dyDescent="0.2">
      <c r="A111" s="29" t="s">
        <v>228</v>
      </c>
      <c r="B111" s="30">
        <v>227.59592237107452</v>
      </c>
      <c r="C111" s="31">
        <v>0</v>
      </c>
      <c r="D111" s="29">
        <v>4.6600000000000003E-2</v>
      </c>
      <c r="E111" s="29">
        <v>22.57</v>
      </c>
      <c r="F111" s="29">
        <v>9.8800000000000008</v>
      </c>
      <c r="G111" s="29">
        <v>0.5333</v>
      </c>
      <c r="H111" s="29">
        <v>1.6500000000000001E-2</v>
      </c>
      <c r="I111" s="29">
        <v>0</v>
      </c>
      <c r="J111" s="29">
        <v>38.51</v>
      </c>
      <c r="K111" s="29">
        <v>0</v>
      </c>
      <c r="L111" s="29">
        <v>23.7</v>
      </c>
      <c r="M111" s="29">
        <v>5.53</v>
      </c>
      <c r="N111" s="29">
        <v>100.7863</v>
      </c>
      <c r="O111" s="29">
        <v>2.8E-3</v>
      </c>
      <c r="P111" s="29">
        <v>2.0449999999999999</v>
      </c>
      <c r="Q111" s="29">
        <v>0.81399999999999995</v>
      </c>
      <c r="R111" s="29">
        <v>3.4700000000000002E-2</v>
      </c>
      <c r="S111" s="29">
        <v>2.5000000000000001E-3</v>
      </c>
      <c r="T111" s="29">
        <v>0</v>
      </c>
      <c r="U111" s="29">
        <v>2.9609999999999999</v>
      </c>
      <c r="V111" s="29">
        <v>0</v>
      </c>
      <c r="W111" s="29">
        <v>1.524</v>
      </c>
      <c r="X111" s="29">
        <v>0.63300000000000001</v>
      </c>
      <c r="Y111" s="29">
        <v>8.0169999999999995</v>
      </c>
      <c r="Z111" s="25">
        <f t="shared" si="13"/>
        <v>0.50703663040223579</v>
      </c>
      <c r="AA111" s="25">
        <f t="shared" si="14"/>
        <v>0.21059986026549557</v>
      </c>
      <c r="AB111" s="25">
        <f t="shared" si="15"/>
        <v>0.27081877765578732</v>
      </c>
      <c r="AC111" s="25">
        <f t="shared" si="16"/>
        <v>1.1544731676481353E-2</v>
      </c>
      <c r="AD111" s="25">
        <f t="shared" si="17"/>
        <v>0.70653685674547984</v>
      </c>
    </row>
    <row r="112" spans="1:30" x14ac:dyDescent="0.2">
      <c r="A112" s="29"/>
      <c r="B112" s="30"/>
      <c r="C112" s="31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9"/>
      <c r="R112" s="29"/>
      <c r="S112" s="29"/>
      <c r="T112" s="29"/>
      <c r="U112" s="29"/>
      <c r="V112" s="29"/>
      <c r="W112" s="29"/>
      <c r="X112" s="29"/>
      <c r="Y112" s="29"/>
      <c r="Z112" s="25"/>
      <c r="AA112" s="25"/>
      <c r="AB112" s="25"/>
      <c r="AC112" s="25"/>
      <c r="AD112" s="25"/>
    </row>
    <row r="113" spans="1:30" x14ac:dyDescent="0.2">
      <c r="A113" s="26" t="s">
        <v>229</v>
      </c>
      <c r="B113" s="26">
        <v>0</v>
      </c>
      <c r="C113" s="27">
        <v>-279.61496835325255</v>
      </c>
      <c r="D113" s="26">
        <v>2.24E-2</v>
      </c>
      <c r="E113" s="26">
        <v>22.45</v>
      </c>
      <c r="F113" s="26">
        <v>7.21</v>
      </c>
      <c r="G113" s="26">
        <v>0.58750000000000002</v>
      </c>
      <c r="H113" s="26">
        <v>3.09E-2</v>
      </c>
      <c r="I113" s="26">
        <v>1.4200000000000001E-2</v>
      </c>
      <c r="J113" s="26">
        <v>38.56</v>
      </c>
      <c r="K113" s="26">
        <v>1.5E-3</v>
      </c>
      <c r="L113" s="26">
        <v>25.16</v>
      </c>
      <c r="M113" s="26">
        <v>6.55</v>
      </c>
      <c r="N113" s="26">
        <v>100.5864</v>
      </c>
      <c r="O113" s="26">
        <v>1.4E-3</v>
      </c>
      <c r="P113" s="26">
        <v>2.0369999999999999</v>
      </c>
      <c r="Q113" s="26">
        <v>0.59399999999999997</v>
      </c>
      <c r="R113" s="26">
        <v>3.8300000000000001E-2</v>
      </c>
      <c r="S113" s="26">
        <v>4.5999999999999999E-3</v>
      </c>
      <c r="T113" s="26">
        <v>8.0000000000000004E-4</v>
      </c>
      <c r="U113" s="26">
        <v>2.968</v>
      </c>
      <c r="V113" s="26">
        <v>1E-4</v>
      </c>
      <c r="W113" s="26">
        <v>1.619</v>
      </c>
      <c r="X113" s="26">
        <v>0.752</v>
      </c>
      <c r="Y113" s="26">
        <v>8.0152999999999999</v>
      </c>
      <c r="Z113" s="25">
        <f t="shared" si="13"/>
        <v>0.53907368561249291</v>
      </c>
      <c r="AA113" s="25">
        <f t="shared" si="14"/>
        <v>0.25039123630672927</v>
      </c>
      <c r="AB113" s="25">
        <f t="shared" si="15"/>
        <v>0.19778243931675155</v>
      </c>
      <c r="AC113" s="25">
        <f t="shared" si="16"/>
        <v>1.2752638764026237E-2</v>
      </c>
      <c r="AD113" s="25">
        <f t="shared" si="17"/>
        <v>0.68283424715309993</v>
      </c>
    </row>
    <row r="114" spans="1:30" x14ac:dyDescent="0.2">
      <c r="A114" s="26" t="s">
        <v>230</v>
      </c>
      <c r="B114" s="28">
        <v>20.396078054375167</v>
      </c>
      <c r="C114" s="27">
        <v>-259.2188902988774</v>
      </c>
      <c r="D114" s="26">
        <v>1.9099999999999999E-2</v>
      </c>
      <c r="E114" s="26">
        <v>22.38</v>
      </c>
      <c r="F114" s="26">
        <v>7.02</v>
      </c>
      <c r="G114" s="26">
        <v>0.58709999999999996</v>
      </c>
      <c r="H114" s="26">
        <v>5.7099999999999998E-2</v>
      </c>
      <c r="I114" s="26">
        <v>3.3300000000000003E-2</v>
      </c>
      <c r="J114" s="26">
        <v>38.619999999999997</v>
      </c>
      <c r="K114" s="26">
        <v>0</v>
      </c>
      <c r="L114" s="26">
        <v>25.18</v>
      </c>
      <c r="M114" s="26">
        <v>6.51</v>
      </c>
      <c r="N114" s="26">
        <v>100.40649999999999</v>
      </c>
      <c r="O114" s="26">
        <v>1.1999999999999999E-3</v>
      </c>
      <c r="P114" s="26">
        <v>2.0329999999999999</v>
      </c>
      <c r="Q114" s="26">
        <v>0.57999999999999996</v>
      </c>
      <c r="R114" s="26">
        <v>3.8300000000000001E-2</v>
      </c>
      <c r="S114" s="26">
        <v>8.5000000000000006E-3</v>
      </c>
      <c r="T114" s="26">
        <v>1.9E-3</v>
      </c>
      <c r="U114" s="26">
        <v>2.976</v>
      </c>
      <c r="V114" s="26">
        <v>0</v>
      </c>
      <c r="W114" s="26">
        <v>1.623</v>
      </c>
      <c r="X114" s="26">
        <v>0.747</v>
      </c>
      <c r="Y114" s="26">
        <v>8.0089000000000006</v>
      </c>
      <c r="Z114" s="25">
        <f t="shared" si="13"/>
        <v>0.54311816082722619</v>
      </c>
      <c r="AA114" s="25">
        <f t="shared" si="14"/>
        <v>0.24997490211826121</v>
      </c>
      <c r="AB114" s="25">
        <f t="shared" si="15"/>
        <v>0.19409028544657497</v>
      </c>
      <c r="AC114" s="25">
        <f t="shared" si="16"/>
        <v>1.2816651607937624E-2</v>
      </c>
      <c r="AD114" s="25">
        <f t="shared" si="17"/>
        <v>0.68481012658227847</v>
      </c>
    </row>
    <row r="115" spans="1:30" x14ac:dyDescent="0.2">
      <c r="A115" s="26" t="s">
        <v>231</v>
      </c>
      <c r="B115" s="28">
        <v>39.812565893320695</v>
      </c>
      <c r="C115" s="27">
        <v>-239.80240245993184</v>
      </c>
      <c r="D115" s="26">
        <v>4.7899999999999998E-2</v>
      </c>
      <c r="E115" s="26">
        <v>22.39</v>
      </c>
      <c r="F115" s="26">
        <v>7.25</v>
      </c>
      <c r="G115" s="26">
        <v>0.70830000000000004</v>
      </c>
      <c r="H115" s="26">
        <v>4.7600000000000003E-2</v>
      </c>
      <c r="I115" s="26">
        <v>5.0299999999999997E-2</v>
      </c>
      <c r="J115" s="26">
        <v>38.46</v>
      </c>
      <c r="K115" s="26">
        <v>0</v>
      </c>
      <c r="L115" s="26">
        <v>25.07</v>
      </c>
      <c r="M115" s="26">
        <v>6.44</v>
      </c>
      <c r="N115" s="26">
        <v>100.4641</v>
      </c>
      <c r="O115" s="26">
        <v>2.8999999999999998E-3</v>
      </c>
      <c r="P115" s="26">
        <v>2.0350000000000001</v>
      </c>
      <c r="Q115" s="26">
        <v>0.59899999999999998</v>
      </c>
      <c r="R115" s="26">
        <v>4.6300000000000001E-2</v>
      </c>
      <c r="S115" s="26">
        <v>7.1000000000000004E-3</v>
      </c>
      <c r="T115" s="26">
        <v>2.8999999999999998E-3</v>
      </c>
      <c r="U115" s="26">
        <v>2.9660000000000002</v>
      </c>
      <c r="V115" s="26">
        <v>0</v>
      </c>
      <c r="W115" s="26">
        <v>1.617</v>
      </c>
      <c r="X115" s="26">
        <v>0.74</v>
      </c>
      <c r="Y115" s="26">
        <v>8.0161999999999995</v>
      </c>
      <c r="Z115" s="25">
        <f t="shared" si="13"/>
        <v>0.53858708323618565</v>
      </c>
      <c r="AA115" s="25">
        <f t="shared" si="14"/>
        <v>0.2464777004296706</v>
      </c>
      <c r="AB115" s="25">
        <f t="shared" si="15"/>
        <v>0.19951370615861172</v>
      </c>
      <c r="AC115" s="25">
        <f t="shared" si="16"/>
        <v>1.5421510175532092E-2</v>
      </c>
      <c r="AD115" s="25">
        <f t="shared" si="17"/>
        <v>0.68604157827747125</v>
      </c>
    </row>
    <row r="116" spans="1:30" x14ac:dyDescent="0.2">
      <c r="A116" s="26" t="s">
        <v>232</v>
      </c>
      <c r="B116" s="28">
        <v>60.208643947690987</v>
      </c>
      <c r="C116" s="27">
        <v>-219.40632440556155</v>
      </c>
      <c r="D116" s="26">
        <v>1.6299999999999999E-2</v>
      </c>
      <c r="E116" s="26">
        <v>22.61</v>
      </c>
      <c r="F116" s="26">
        <v>7.1</v>
      </c>
      <c r="G116" s="26">
        <v>0.73089999999999999</v>
      </c>
      <c r="H116" s="26">
        <v>5.7200000000000001E-2</v>
      </c>
      <c r="I116" s="26">
        <v>2.9399999999999999E-2</v>
      </c>
      <c r="J116" s="26">
        <v>38.44</v>
      </c>
      <c r="K116" s="26">
        <v>0</v>
      </c>
      <c r="L116" s="26">
        <v>25.21</v>
      </c>
      <c r="M116" s="26">
        <v>6.52</v>
      </c>
      <c r="N116" s="26">
        <v>100.7137</v>
      </c>
      <c r="O116" s="26">
        <v>1E-3</v>
      </c>
      <c r="P116" s="26">
        <v>2.0499999999999998</v>
      </c>
      <c r="Q116" s="26">
        <v>0.58499999999999996</v>
      </c>
      <c r="R116" s="26">
        <v>4.7600000000000003E-2</v>
      </c>
      <c r="S116" s="26">
        <v>8.5000000000000006E-3</v>
      </c>
      <c r="T116" s="26">
        <v>1.6999999999999999E-3</v>
      </c>
      <c r="U116" s="26">
        <v>2.9569999999999999</v>
      </c>
      <c r="V116" s="26">
        <v>0</v>
      </c>
      <c r="W116" s="26">
        <v>1.621</v>
      </c>
      <c r="X116" s="26">
        <v>0.748</v>
      </c>
      <c r="Y116" s="26">
        <v>8.0198</v>
      </c>
      <c r="Z116" s="25">
        <f t="shared" si="13"/>
        <v>0.54004530916844351</v>
      </c>
      <c r="AA116" s="25">
        <f t="shared" si="14"/>
        <v>0.24920042643923243</v>
      </c>
      <c r="AB116" s="25">
        <f t="shared" si="15"/>
        <v>0.1948960554371002</v>
      </c>
      <c r="AC116" s="25">
        <f t="shared" si="16"/>
        <v>1.5858208955223881E-2</v>
      </c>
      <c r="AD116" s="25">
        <f t="shared" si="17"/>
        <v>0.68425495989869145</v>
      </c>
    </row>
    <row r="117" spans="1:30" x14ac:dyDescent="0.2">
      <c r="A117" s="26" t="s">
        <v>233</v>
      </c>
      <c r="B117" s="28">
        <v>80.604722002062658</v>
      </c>
      <c r="C117" s="27">
        <v>-199.01024635118986</v>
      </c>
      <c r="D117" s="26">
        <v>1.8499999999999999E-2</v>
      </c>
      <c r="E117" s="26">
        <v>22.43</v>
      </c>
      <c r="F117" s="26">
        <v>7.14</v>
      </c>
      <c r="G117" s="26">
        <v>0.69940000000000002</v>
      </c>
      <c r="H117" s="26">
        <v>2.6200000000000001E-2</v>
      </c>
      <c r="I117" s="26">
        <v>4.3499999999999997E-2</v>
      </c>
      <c r="J117" s="26">
        <v>38.380000000000003</v>
      </c>
      <c r="K117" s="26">
        <v>0</v>
      </c>
      <c r="L117" s="26">
        <v>25.18</v>
      </c>
      <c r="M117" s="26">
        <v>6.54</v>
      </c>
      <c r="N117" s="26">
        <v>100.4576</v>
      </c>
      <c r="O117" s="26">
        <v>1.1000000000000001E-3</v>
      </c>
      <c r="P117" s="26">
        <v>2.0390000000000001</v>
      </c>
      <c r="Q117" s="26">
        <v>0.59</v>
      </c>
      <c r="R117" s="26">
        <v>4.5699999999999998E-2</v>
      </c>
      <c r="S117" s="26">
        <v>3.8999999999999998E-3</v>
      </c>
      <c r="T117" s="26">
        <v>2.5000000000000001E-3</v>
      </c>
      <c r="U117" s="26">
        <v>2.96</v>
      </c>
      <c r="V117" s="26">
        <v>0</v>
      </c>
      <c r="W117" s="26">
        <v>1.6240000000000001</v>
      </c>
      <c r="X117" s="26">
        <v>0.752</v>
      </c>
      <c r="Y117" s="26">
        <v>8.0183</v>
      </c>
      <c r="Z117" s="25">
        <f t="shared" si="13"/>
        <v>0.53923033502672912</v>
      </c>
      <c r="AA117" s="25">
        <f t="shared" si="14"/>
        <v>0.24969286449513561</v>
      </c>
      <c r="AB117" s="25">
        <f t="shared" si="15"/>
        <v>0.19590264634591756</v>
      </c>
      <c r="AC117" s="25">
        <f t="shared" si="16"/>
        <v>1.5174154132217682E-2</v>
      </c>
      <c r="AD117" s="25">
        <f t="shared" si="17"/>
        <v>0.6835016835016835</v>
      </c>
    </row>
    <row r="118" spans="1:30" x14ac:dyDescent="0.2">
      <c r="A118" s="26" t="s">
        <v>234</v>
      </c>
      <c r="B118" s="28">
        <v>101.00080005643295</v>
      </c>
      <c r="C118" s="27">
        <v>-178.61416829681957</v>
      </c>
      <c r="D118" s="26">
        <v>2.46E-2</v>
      </c>
      <c r="E118" s="26">
        <v>22.45</v>
      </c>
      <c r="F118" s="26">
        <v>7.57</v>
      </c>
      <c r="G118" s="26">
        <v>0.58240000000000003</v>
      </c>
      <c r="H118" s="26">
        <v>2.8500000000000001E-2</v>
      </c>
      <c r="I118" s="26">
        <v>3.1199999999999999E-2</v>
      </c>
      <c r="J118" s="26">
        <v>38.54</v>
      </c>
      <c r="K118" s="26">
        <v>0</v>
      </c>
      <c r="L118" s="26">
        <v>24.93</v>
      </c>
      <c r="M118" s="26">
        <v>6.22</v>
      </c>
      <c r="N118" s="26">
        <v>100.3766</v>
      </c>
      <c r="O118" s="26">
        <v>1.5E-3</v>
      </c>
      <c r="P118" s="26">
        <v>2.0409999999999999</v>
      </c>
      <c r="Q118" s="26">
        <v>0.625</v>
      </c>
      <c r="R118" s="26">
        <v>3.7999999999999999E-2</v>
      </c>
      <c r="S118" s="26">
        <v>4.3E-3</v>
      </c>
      <c r="T118" s="26">
        <v>1.8E-3</v>
      </c>
      <c r="U118" s="26">
        <v>2.972</v>
      </c>
      <c r="V118" s="26">
        <v>0</v>
      </c>
      <c r="W118" s="26">
        <v>1.6080000000000001</v>
      </c>
      <c r="X118" s="26">
        <v>0.71499999999999997</v>
      </c>
      <c r="Y118" s="26">
        <v>8.0066000000000006</v>
      </c>
      <c r="Z118" s="25">
        <f t="shared" si="13"/>
        <v>0.53851306095110518</v>
      </c>
      <c r="AA118" s="25">
        <f t="shared" si="14"/>
        <v>0.23945077026121903</v>
      </c>
      <c r="AB118" s="25">
        <f t="shared" si="15"/>
        <v>0.20931011386470197</v>
      </c>
      <c r="AC118" s="25">
        <f t="shared" si="16"/>
        <v>1.2726054922973878E-2</v>
      </c>
      <c r="AD118" s="25">
        <f t="shared" si="17"/>
        <v>0.69220835126990965</v>
      </c>
    </row>
    <row r="119" spans="1:30" x14ac:dyDescent="0.2">
      <c r="A119" s="26" t="s">
        <v>235</v>
      </c>
      <c r="B119" s="28">
        <v>120.41728789538196</v>
      </c>
      <c r="C119" s="27">
        <v>-159.19768045787058</v>
      </c>
      <c r="D119" s="26">
        <v>3.7999999999999999E-2</v>
      </c>
      <c r="E119" s="26">
        <v>22.5</v>
      </c>
      <c r="F119" s="26">
        <v>7.77</v>
      </c>
      <c r="G119" s="26">
        <v>0.53300000000000003</v>
      </c>
      <c r="H119" s="26">
        <v>5.9400000000000001E-2</v>
      </c>
      <c r="I119" s="26">
        <v>2.7699999999999999E-2</v>
      </c>
      <c r="J119" s="26">
        <v>38.65</v>
      </c>
      <c r="K119" s="26">
        <v>0</v>
      </c>
      <c r="L119" s="26">
        <v>24.92</v>
      </c>
      <c r="M119" s="26">
        <v>6.34</v>
      </c>
      <c r="N119" s="26">
        <v>100.8381</v>
      </c>
      <c r="O119" s="26">
        <v>2.3E-3</v>
      </c>
      <c r="P119" s="26">
        <v>2.036</v>
      </c>
      <c r="Q119" s="26">
        <v>0.63900000000000001</v>
      </c>
      <c r="R119" s="26">
        <v>3.4700000000000002E-2</v>
      </c>
      <c r="S119" s="26">
        <v>8.8000000000000005E-3</v>
      </c>
      <c r="T119" s="26">
        <v>1.6000000000000001E-3</v>
      </c>
      <c r="U119" s="26">
        <v>2.968</v>
      </c>
      <c r="V119" s="26">
        <v>0</v>
      </c>
      <c r="W119" s="26">
        <v>1.6</v>
      </c>
      <c r="X119" s="26">
        <v>0.72599999999999998</v>
      </c>
      <c r="Y119" s="26">
        <v>8.0164000000000009</v>
      </c>
      <c r="Z119" s="25">
        <f t="shared" si="13"/>
        <v>0.53338667200053347</v>
      </c>
      <c r="AA119" s="25">
        <f t="shared" si="14"/>
        <v>0.24202420242024203</v>
      </c>
      <c r="AB119" s="25">
        <f t="shared" si="15"/>
        <v>0.21302130213021303</v>
      </c>
      <c r="AC119" s="25">
        <f t="shared" si="16"/>
        <v>1.1567823449011569E-2</v>
      </c>
      <c r="AD119" s="25">
        <f t="shared" si="17"/>
        <v>0.68787618228718828</v>
      </c>
    </row>
    <row r="120" spans="1:30" x14ac:dyDescent="0.2">
      <c r="A120" s="26" t="s">
        <v>236</v>
      </c>
      <c r="B120" s="28">
        <v>140.81336594975363</v>
      </c>
      <c r="C120" s="27">
        <v>-138.80160240349889</v>
      </c>
      <c r="D120" s="26">
        <v>4.53E-2</v>
      </c>
      <c r="E120" s="26">
        <v>22.51</v>
      </c>
      <c r="F120" s="26">
        <v>8.06</v>
      </c>
      <c r="G120" s="26">
        <v>0.59670000000000001</v>
      </c>
      <c r="H120" s="26">
        <v>4.7500000000000001E-2</v>
      </c>
      <c r="I120" s="26">
        <v>6.1699999999999998E-2</v>
      </c>
      <c r="J120" s="26">
        <v>38.520000000000003</v>
      </c>
      <c r="K120" s="26">
        <v>0</v>
      </c>
      <c r="L120" s="26">
        <v>24.86</v>
      </c>
      <c r="M120" s="26">
        <v>6.19</v>
      </c>
      <c r="N120" s="26">
        <v>100.8912</v>
      </c>
      <c r="O120" s="26">
        <v>2.8E-3</v>
      </c>
      <c r="P120" s="26">
        <v>2.0379999999999998</v>
      </c>
      <c r="Q120" s="26">
        <v>0.66300000000000003</v>
      </c>
      <c r="R120" s="26">
        <v>3.8800000000000001E-2</v>
      </c>
      <c r="S120" s="26">
        <v>7.1000000000000004E-3</v>
      </c>
      <c r="T120" s="26">
        <v>3.5999999999999999E-3</v>
      </c>
      <c r="U120" s="26">
        <v>2.9590000000000001</v>
      </c>
      <c r="V120" s="26">
        <v>0</v>
      </c>
      <c r="W120" s="26">
        <v>1.597</v>
      </c>
      <c r="X120" s="26">
        <v>0.70899999999999996</v>
      </c>
      <c r="Y120" s="26">
        <v>8.0183</v>
      </c>
      <c r="Z120" s="25">
        <f t="shared" si="13"/>
        <v>0.53095285590797248</v>
      </c>
      <c r="AA120" s="25">
        <f t="shared" si="14"/>
        <v>0.23572046013697714</v>
      </c>
      <c r="AB120" s="25">
        <f t="shared" si="15"/>
        <v>0.22042689008577698</v>
      </c>
      <c r="AC120" s="25">
        <f t="shared" si="16"/>
        <v>1.2899793869273223E-2</v>
      </c>
      <c r="AD120" s="25">
        <f t="shared" si="17"/>
        <v>0.69254119687771032</v>
      </c>
    </row>
    <row r="121" spans="1:30" x14ac:dyDescent="0.2">
      <c r="A121" s="26" t="s">
        <v>237</v>
      </c>
      <c r="B121" s="28">
        <v>161.0371143659099</v>
      </c>
      <c r="C121" s="27">
        <v>-118.57785398734262</v>
      </c>
      <c r="D121" s="26">
        <v>4.87E-2</v>
      </c>
      <c r="E121" s="26">
        <v>22.51</v>
      </c>
      <c r="F121" s="26">
        <v>8.35</v>
      </c>
      <c r="G121" s="26">
        <v>0.49070000000000003</v>
      </c>
      <c r="H121" s="26">
        <v>6.3899999999999998E-2</v>
      </c>
      <c r="I121" s="26">
        <v>3.9699999999999999E-2</v>
      </c>
      <c r="J121" s="26">
        <v>38.74</v>
      </c>
      <c r="K121" s="26">
        <v>0</v>
      </c>
      <c r="L121" s="26">
        <v>24.44</v>
      </c>
      <c r="M121" s="26">
        <v>6.13</v>
      </c>
      <c r="N121" s="26">
        <v>100.813</v>
      </c>
      <c r="O121" s="26">
        <v>3.0000000000000001E-3</v>
      </c>
      <c r="P121" s="26">
        <v>2.036</v>
      </c>
      <c r="Q121" s="26">
        <v>0.68600000000000005</v>
      </c>
      <c r="R121" s="26">
        <v>3.1899999999999998E-2</v>
      </c>
      <c r="S121" s="26">
        <v>9.4999999999999998E-3</v>
      </c>
      <c r="T121" s="26">
        <v>2.3E-3</v>
      </c>
      <c r="U121" s="26">
        <v>2.9729999999999999</v>
      </c>
      <c r="V121" s="26">
        <v>0</v>
      </c>
      <c r="W121" s="26">
        <v>1.569</v>
      </c>
      <c r="X121" s="26">
        <v>0.70099999999999996</v>
      </c>
      <c r="Y121" s="26">
        <v>8.0117999999999991</v>
      </c>
      <c r="Z121" s="25">
        <f t="shared" si="13"/>
        <v>0.52511797583587139</v>
      </c>
      <c r="AA121" s="25">
        <f t="shared" si="14"/>
        <v>0.23461293885337528</v>
      </c>
      <c r="AB121" s="25">
        <f t="shared" si="15"/>
        <v>0.22959269051842432</v>
      </c>
      <c r="AC121" s="25">
        <f t="shared" si="16"/>
        <v>1.0676394792329059E-2</v>
      </c>
      <c r="AD121" s="25">
        <f t="shared" si="17"/>
        <v>0.69118942731277533</v>
      </c>
    </row>
    <row r="122" spans="1:30" x14ac:dyDescent="0.2">
      <c r="A122" s="26" t="s">
        <v>238</v>
      </c>
      <c r="B122" s="28">
        <v>181.43319242028019</v>
      </c>
      <c r="C122" s="27">
        <v>-98.181775932972329</v>
      </c>
      <c r="D122" s="26">
        <v>6.1899999999999997E-2</v>
      </c>
      <c r="E122" s="26">
        <v>22.49</v>
      </c>
      <c r="F122" s="26">
        <v>7.29</v>
      </c>
      <c r="G122" s="26">
        <v>0.5534</v>
      </c>
      <c r="H122" s="26">
        <v>3.09E-2</v>
      </c>
      <c r="I122" s="26">
        <v>3.9E-2</v>
      </c>
      <c r="J122" s="26">
        <v>38.869999999999997</v>
      </c>
      <c r="K122" s="26">
        <v>0</v>
      </c>
      <c r="L122" s="26">
        <v>25.23</v>
      </c>
      <c r="M122" s="26">
        <v>6.46</v>
      </c>
      <c r="N122" s="26">
        <v>101.02509999999999</v>
      </c>
      <c r="O122" s="26">
        <v>3.7000000000000002E-3</v>
      </c>
      <c r="P122" s="26">
        <v>2.0299999999999998</v>
      </c>
      <c r="Q122" s="26">
        <v>0.59799999999999998</v>
      </c>
      <c r="R122" s="26">
        <v>3.5900000000000001E-2</v>
      </c>
      <c r="S122" s="26">
        <v>4.5999999999999999E-3</v>
      </c>
      <c r="T122" s="26">
        <v>2.2000000000000001E-3</v>
      </c>
      <c r="U122" s="26">
        <v>2.9769999999999999</v>
      </c>
      <c r="V122" s="26">
        <v>0</v>
      </c>
      <c r="W122" s="26">
        <v>1.6160000000000001</v>
      </c>
      <c r="X122" s="26">
        <v>0.73799999999999999</v>
      </c>
      <c r="Y122" s="26">
        <v>8.0054999999999996</v>
      </c>
      <c r="Z122" s="25">
        <f t="shared" si="13"/>
        <v>0.54084808728538447</v>
      </c>
      <c r="AA122" s="25">
        <f t="shared" si="14"/>
        <v>0.24699621807958769</v>
      </c>
      <c r="AB122" s="25">
        <f t="shared" si="15"/>
        <v>0.20014056695337862</v>
      </c>
      <c r="AC122" s="25">
        <f t="shared" si="16"/>
        <v>1.2015127681649319E-2</v>
      </c>
      <c r="AD122" s="25">
        <f t="shared" si="17"/>
        <v>0.68649107901444351</v>
      </c>
    </row>
    <row r="123" spans="1:30" x14ac:dyDescent="0.2">
      <c r="A123" s="26" t="s">
        <v>239</v>
      </c>
      <c r="B123" s="28">
        <v>201.82927047465049</v>
      </c>
      <c r="C123" s="27">
        <v>-77.785697878602036</v>
      </c>
      <c r="D123" s="26">
        <v>3.2800000000000003E-2</v>
      </c>
      <c r="E123" s="26">
        <v>22.4</v>
      </c>
      <c r="F123" s="26">
        <v>10.53</v>
      </c>
      <c r="G123" s="26">
        <v>0.51859999999999995</v>
      </c>
      <c r="H123" s="26">
        <v>1.8800000000000001E-2</v>
      </c>
      <c r="I123" s="26">
        <v>3.7600000000000001E-2</v>
      </c>
      <c r="J123" s="26">
        <v>38.83</v>
      </c>
      <c r="K123" s="26">
        <v>6.0000000000000001E-3</v>
      </c>
      <c r="L123" s="26">
        <v>22.9</v>
      </c>
      <c r="M123" s="26">
        <v>5.36</v>
      </c>
      <c r="N123" s="26">
        <v>100.6337</v>
      </c>
      <c r="O123" s="26">
        <v>2E-3</v>
      </c>
      <c r="P123" s="26">
        <v>2.028</v>
      </c>
      <c r="Q123" s="26">
        <v>0.86599999999999999</v>
      </c>
      <c r="R123" s="26">
        <v>3.3700000000000001E-2</v>
      </c>
      <c r="S123" s="26">
        <v>2.8E-3</v>
      </c>
      <c r="T123" s="26">
        <v>2.2000000000000001E-3</v>
      </c>
      <c r="U123" s="26">
        <v>2.9820000000000002</v>
      </c>
      <c r="V123" s="26">
        <v>5.9999999999999995E-4</v>
      </c>
      <c r="W123" s="26">
        <v>1.4710000000000001</v>
      </c>
      <c r="X123" s="26">
        <v>0.61299999999999999</v>
      </c>
      <c r="Y123" s="26">
        <v>8.0013000000000005</v>
      </c>
      <c r="Z123" s="25">
        <f t="shared" si="13"/>
        <v>0.49301203204075478</v>
      </c>
      <c r="AA123" s="25">
        <f t="shared" si="14"/>
        <v>0.20544960954519553</v>
      </c>
      <c r="AB123" s="25">
        <f t="shared" si="15"/>
        <v>0.29024365720414247</v>
      </c>
      <c r="AC123" s="25">
        <f t="shared" si="16"/>
        <v>1.1294701209907162E-2</v>
      </c>
      <c r="AD123" s="25">
        <f t="shared" si="17"/>
        <v>0.70585412667946257</v>
      </c>
    </row>
    <row r="124" spans="1:30" x14ac:dyDescent="0.2">
      <c r="A124" s="26" t="s">
        <v>240</v>
      </c>
      <c r="B124" s="28">
        <v>221.24575831360096</v>
      </c>
      <c r="C124" s="27">
        <v>-58.369210039651563</v>
      </c>
      <c r="D124" s="26">
        <v>0</v>
      </c>
      <c r="E124" s="26">
        <v>22.78</v>
      </c>
      <c r="F124" s="26">
        <v>9.5</v>
      </c>
      <c r="G124" s="26">
        <v>0.52959999999999996</v>
      </c>
      <c r="H124" s="26">
        <v>0.1128</v>
      </c>
      <c r="I124" s="26">
        <v>6.9400000000000003E-2</v>
      </c>
      <c r="J124" s="26">
        <v>39.19</v>
      </c>
      <c r="K124" s="26">
        <v>0</v>
      </c>
      <c r="L124" s="26">
        <v>23.55</v>
      </c>
      <c r="M124" s="26">
        <v>5.61</v>
      </c>
      <c r="N124" s="26">
        <v>101.3417</v>
      </c>
      <c r="O124" s="26">
        <v>0</v>
      </c>
      <c r="P124" s="26">
        <v>2.0449999999999999</v>
      </c>
      <c r="Q124" s="26">
        <v>0.77500000000000002</v>
      </c>
      <c r="R124" s="26">
        <v>3.4200000000000001E-2</v>
      </c>
      <c r="S124" s="26">
        <v>1.67E-2</v>
      </c>
      <c r="T124" s="26">
        <v>4.0000000000000001E-3</v>
      </c>
      <c r="U124" s="26">
        <v>2.9849999999999999</v>
      </c>
      <c r="V124" s="26">
        <v>0</v>
      </c>
      <c r="W124" s="26">
        <v>1.5</v>
      </c>
      <c r="X124" s="26">
        <v>0.63700000000000001</v>
      </c>
      <c r="Y124" s="26">
        <v>7.9969999999999999</v>
      </c>
      <c r="Z124" s="25">
        <f t="shared" si="13"/>
        <v>0.50913040526780262</v>
      </c>
      <c r="AA124" s="25">
        <f t="shared" si="14"/>
        <v>0.21621071210372686</v>
      </c>
      <c r="AB124" s="25">
        <f t="shared" si="15"/>
        <v>0.26305070938836467</v>
      </c>
      <c r="AC124" s="25">
        <f t="shared" si="16"/>
        <v>1.1608173240105898E-2</v>
      </c>
      <c r="AD124" s="25">
        <f t="shared" si="17"/>
        <v>0.7019185774450164</v>
      </c>
    </row>
    <row r="125" spans="1:30" x14ac:dyDescent="0.2">
      <c r="A125" s="26" t="s">
        <v>241</v>
      </c>
      <c r="B125" s="28">
        <v>239.49404590449632</v>
      </c>
      <c r="C125" s="27">
        <v>-40.120922448756211</v>
      </c>
      <c r="D125" s="26">
        <v>2.0299999999999999E-2</v>
      </c>
      <c r="E125" s="26">
        <v>22.62</v>
      </c>
      <c r="F125" s="26">
        <v>8.9600000000000009</v>
      </c>
      <c r="G125" s="26">
        <v>0.55010000000000003</v>
      </c>
      <c r="H125" s="26">
        <v>6.8599999999999994E-2</v>
      </c>
      <c r="I125" s="26">
        <v>2.6700000000000002E-2</v>
      </c>
      <c r="J125" s="26">
        <v>38.700000000000003</v>
      </c>
      <c r="K125" s="26">
        <v>0</v>
      </c>
      <c r="L125" s="26">
        <v>24.27</v>
      </c>
      <c r="M125" s="26">
        <v>5.88</v>
      </c>
      <c r="N125" s="26">
        <v>101.0956</v>
      </c>
      <c r="O125" s="26">
        <v>1.1999999999999999E-3</v>
      </c>
      <c r="P125" s="26">
        <v>2.0419999999999998</v>
      </c>
      <c r="Q125" s="26">
        <v>0.73599999999999999</v>
      </c>
      <c r="R125" s="26">
        <v>3.5700000000000003E-2</v>
      </c>
      <c r="S125" s="26">
        <v>1.0200000000000001E-2</v>
      </c>
      <c r="T125" s="26">
        <v>1.5E-3</v>
      </c>
      <c r="U125" s="26">
        <v>2.9649999999999999</v>
      </c>
      <c r="V125" s="26">
        <v>0</v>
      </c>
      <c r="W125" s="26">
        <v>1.5549999999999999</v>
      </c>
      <c r="X125" s="26">
        <v>0.67100000000000004</v>
      </c>
      <c r="Y125" s="26">
        <v>8.0175999999999998</v>
      </c>
      <c r="Z125" s="25">
        <f t="shared" si="13"/>
        <v>0.51873102712079255</v>
      </c>
      <c r="AA125" s="25">
        <f t="shared" si="14"/>
        <v>0.22383827601160891</v>
      </c>
      <c r="AB125" s="25">
        <f t="shared" si="15"/>
        <v>0.24552156653434298</v>
      </c>
      <c r="AC125" s="25">
        <f t="shared" si="16"/>
        <v>1.1909130333255497E-2</v>
      </c>
      <c r="AD125" s="25">
        <f t="shared" si="17"/>
        <v>0.69856244384546273</v>
      </c>
    </row>
    <row r="126" spans="1:30" x14ac:dyDescent="0.2">
      <c r="A126" s="26" t="s">
        <v>242</v>
      </c>
      <c r="B126" s="28">
        <v>264.09079365699068</v>
      </c>
      <c r="C126" s="27">
        <v>-15.524174696261833</v>
      </c>
      <c r="D126" s="26">
        <v>3.3599999999999998E-2</v>
      </c>
      <c r="E126" s="26">
        <v>22.57</v>
      </c>
      <c r="F126" s="26">
        <v>8.34</v>
      </c>
      <c r="G126" s="26">
        <v>0.5595</v>
      </c>
      <c r="H126" s="26">
        <v>7.3499999999999996E-2</v>
      </c>
      <c r="I126" s="26">
        <v>1.0699999999999999E-2</v>
      </c>
      <c r="J126" s="26">
        <v>38.659999999999997</v>
      </c>
      <c r="K126" s="26">
        <v>4.1999999999999997E-3</v>
      </c>
      <c r="L126" s="26">
        <v>24.72</v>
      </c>
      <c r="M126" s="26">
        <v>5.88</v>
      </c>
      <c r="N126" s="26">
        <v>100.8514</v>
      </c>
      <c r="O126" s="26">
        <v>2E-3</v>
      </c>
      <c r="P126" s="26">
        <v>2.0430000000000001</v>
      </c>
      <c r="Q126" s="26">
        <v>0.68600000000000005</v>
      </c>
      <c r="R126" s="26">
        <v>3.6400000000000002E-2</v>
      </c>
      <c r="S126" s="26">
        <v>1.0999999999999999E-2</v>
      </c>
      <c r="T126" s="26">
        <v>5.9999999999999995E-4</v>
      </c>
      <c r="U126" s="26">
        <v>2.97</v>
      </c>
      <c r="V126" s="26">
        <v>4.0000000000000002E-4</v>
      </c>
      <c r="W126" s="26">
        <v>1.5880000000000001</v>
      </c>
      <c r="X126" s="26">
        <v>0.67400000000000004</v>
      </c>
      <c r="Y126" s="26">
        <v>8.0114000000000001</v>
      </c>
      <c r="Z126" s="25">
        <f t="shared" si="13"/>
        <v>0.53210025465755262</v>
      </c>
      <c r="AA126" s="25">
        <f t="shared" si="14"/>
        <v>0.22584104007505698</v>
      </c>
      <c r="AB126" s="25">
        <f t="shared" si="15"/>
        <v>0.22986194880042893</v>
      </c>
      <c r="AC126" s="25">
        <f t="shared" si="16"/>
        <v>1.2196756466961535E-2</v>
      </c>
      <c r="AD126" s="25">
        <f t="shared" si="17"/>
        <v>0.70203359858532277</v>
      </c>
    </row>
    <row r="127" spans="1:30" x14ac:dyDescent="0.2">
      <c r="A127" s="26" t="s">
        <v>243</v>
      </c>
      <c r="B127" s="28">
        <v>279.61496835325249</v>
      </c>
      <c r="C127" s="27">
        <v>0</v>
      </c>
      <c r="D127" s="26">
        <v>3.9199999999999999E-2</v>
      </c>
      <c r="E127" s="26">
        <v>22.51</v>
      </c>
      <c r="F127" s="26">
        <v>8.6199999999999992</v>
      </c>
      <c r="G127" s="26">
        <v>0.52200000000000002</v>
      </c>
      <c r="H127" s="26">
        <v>8.3099999999999993E-2</v>
      </c>
      <c r="I127" s="26">
        <v>5.33E-2</v>
      </c>
      <c r="J127" s="26">
        <v>38.67</v>
      </c>
      <c r="K127" s="26">
        <v>0</v>
      </c>
      <c r="L127" s="26">
        <v>24.55</v>
      </c>
      <c r="M127" s="26">
        <v>5.74</v>
      </c>
      <c r="N127" s="26">
        <v>100.78749999999999</v>
      </c>
      <c r="O127" s="26">
        <v>2.3999999999999998E-3</v>
      </c>
      <c r="P127" s="26">
        <v>2.0390000000000001</v>
      </c>
      <c r="Q127" s="26">
        <v>0.71</v>
      </c>
      <c r="R127" s="26">
        <v>3.4000000000000002E-2</v>
      </c>
      <c r="S127" s="26">
        <v>1.24E-2</v>
      </c>
      <c r="T127" s="26">
        <v>3.0999999999999999E-3</v>
      </c>
      <c r="U127" s="26">
        <v>2.972</v>
      </c>
      <c r="V127" s="26">
        <v>0</v>
      </c>
      <c r="W127" s="26">
        <v>1.5780000000000001</v>
      </c>
      <c r="X127" s="26">
        <v>0.65800000000000003</v>
      </c>
      <c r="Y127" s="26">
        <v>8.0089000000000006</v>
      </c>
      <c r="Z127" s="25">
        <f t="shared" si="13"/>
        <v>0.5295302013422819</v>
      </c>
      <c r="AA127" s="25">
        <f t="shared" si="14"/>
        <v>0.22080536912751678</v>
      </c>
      <c r="AB127" s="25">
        <f t="shared" si="15"/>
        <v>0.23825503355704697</v>
      </c>
      <c r="AC127" s="25">
        <f t="shared" si="16"/>
        <v>1.1409395973154364E-2</v>
      </c>
      <c r="AD127" s="25">
        <f t="shared" si="17"/>
        <v>0.70572450805008946</v>
      </c>
    </row>
    <row r="128" spans="1:30" x14ac:dyDescent="0.2">
      <c r="D128" s="25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  <c r="P128" s="25"/>
      <c r="Q128" s="25"/>
      <c r="R128" s="25"/>
      <c r="S128" s="25"/>
      <c r="T128" s="25"/>
      <c r="U128" s="25"/>
      <c r="V128" s="25"/>
      <c r="W128" s="25"/>
      <c r="X128" s="25"/>
      <c r="Y128" s="25"/>
      <c r="Z128" s="25"/>
      <c r="AA128" s="25"/>
      <c r="AB128" s="25"/>
      <c r="AC128" s="25"/>
      <c r="AD128" s="25"/>
    </row>
    <row r="129" spans="1:30" x14ac:dyDescent="0.2">
      <c r="A129" s="24" t="s">
        <v>244</v>
      </c>
      <c r="D129" s="25">
        <f>AVERAGE(D81:D100,D102:D111,D113:D127)</f>
        <v>2.4706666666666665E-2</v>
      </c>
      <c r="E129" s="25">
        <f t="shared" ref="E129:AD129" si="18">AVERAGE(E81:E100,E102:E111,E113:E127)</f>
        <v>22.501777777777782</v>
      </c>
      <c r="F129" s="25">
        <f t="shared" si="18"/>
        <v>8.0873333333333317</v>
      </c>
      <c r="G129" s="25">
        <f t="shared" si="18"/>
        <v>0.87235111111111097</v>
      </c>
      <c r="H129" s="25">
        <f t="shared" si="18"/>
        <v>3.2079999999999997E-2</v>
      </c>
      <c r="I129" s="25">
        <f t="shared" si="18"/>
        <v>6.0397777777777772E-2</v>
      </c>
      <c r="J129" s="25">
        <f t="shared" si="18"/>
        <v>38.545333333333346</v>
      </c>
      <c r="K129" s="25">
        <f t="shared" si="18"/>
        <v>3.1999999999999997E-4</v>
      </c>
      <c r="L129" s="25">
        <f t="shared" si="18"/>
        <v>24.605333333333334</v>
      </c>
      <c r="M129" s="25">
        <f t="shared" si="18"/>
        <v>5.9926666666666666</v>
      </c>
      <c r="N129" s="25">
        <f t="shared" si="18"/>
        <v>100.72223111111109</v>
      </c>
      <c r="O129" s="25">
        <f t="shared" si="18"/>
        <v>1.4999999999999998E-3</v>
      </c>
      <c r="P129" s="25">
        <f t="shared" si="18"/>
        <v>2.0409555555555556</v>
      </c>
      <c r="Q129" s="25">
        <f t="shared" si="18"/>
        <v>0.66668888888888878</v>
      </c>
      <c r="R129" s="25">
        <f t="shared" si="18"/>
        <v>5.6886666666666641E-2</v>
      </c>
      <c r="S129" s="25">
        <f t="shared" si="18"/>
        <v>4.7888888888888885E-3</v>
      </c>
      <c r="T129" s="25">
        <f t="shared" si="18"/>
        <v>3.497777777777778E-3</v>
      </c>
      <c r="U129" s="25">
        <f t="shared" si="18"/>
        <v>2.9661777777777774</v>
      </c>
      <c r="V129" s="25">
        <f t="shared" si="18"/>
        <v>3.111111111111111E-5</v>
      </c>
      <c r="W129" s="25">
        <f t="shared" si="18"/>
        <v>1.5835555555555556</v>
      </c>
      <c r="X129" s="25">
        <f t="shared" si="18"/>
        <v>0.68742222222222205</v>
      </c>
      <c r="Y129" s="25">
        <f t="shared" si="18"/>
        <v>8.0115355555555556</v>
      </c>
      <c r="Z129" s="25">
        <f t="shared" si="18"/>
        <v>0.52878600287744371</v>
      </c>
      <c r="AA129" s="25">
        <f t="shared" si="18"/>
        <v>0.229540974550001</v>
      </c>
      <c r="AB129" s="25">
        <f t="shared" si="18"/>
        <v>0.22268343869987295</v>
      </c>
      <c r="AC129" s="25">
        <f t="shared" si="18"/>
        <v>1.8989583872682524E-2</v>
      </c>
      <c r="AD129" s="25">
        <f t="shared" si="18"/>
        <v>0.69747846914096057</v>
      </c>
    </row>
    <row r="130" spans="1:30" x14ac:dyDescent="0.2">
      <c r="D130" s="25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  <c r="P130" s="25"/>
      <c r="Q130" s="25"/>
      <c r="R130" s="25"/>
      <c r="S130" s="25"/>
      <c r="T130" s="25"/>
      <c r="U130" s="25"/>
      <c r="V130" s="25"/>
      <c r="W130" s="25"/>
      <c r="X130" s="25"/>
      <c r="Y130" s="25"/>
      <c r="Z130" s="25"/>
      <c r="AA130" s="25"/>
      <c r="AB130" s="25"/>
      <c r="AC130" s="25"/>
      <c r="AD130" s="25"/>
    </row>
    <row r="131" spans="1:30" x14ac:dyDescent="0.2">
      <c r="A131" s="24" t="s">
        <v>245</v>
      </c>
      <c r="B131" s="12">
        <v>0</v>
      </c>
      <c r="C131" s="12">
        <v>-216.00337409651905</v>
      </c>
      <c r="D131" s="25">
        <v>2.9100000000000001E-2</v>
      </c>
      <c r="E131" s="25">
        <v>22.16</v>
      </c>
      <c r="F131" s="25">
        <v>10.31</v>
      </c>
      <c r="G131" s="25">
        <v>0.71040000000000003</v>
      </c>
      <c r="H131" s="25">
        <v>6.1800000000000001E-2</v>
      </c>
      <c r="I131" s="25">
        <v>0.1331</v>
      </c>
      <c r="J131" s="25">
        <v>38.479999999999997</v>
      </c>
      <c r="K131" s="25">
        <v>0</v>
      </c>
      <c r="L131" s="25">
        <v>24.07</v>
      </c>
      <c r="M131" s="25">
        <v>4.87</v>
      </c>
      <c r="N131" s="25">
        <v>100.82429999999999</v>
      </c>
      <c r="O131" s="24">
        <v>1.8E-3</v>
      </c>
      <c r="P131" s="24">
        <v>2.016</v>
      </c>
      <c r="Q131" s="24">
        <v>0.85299999999999998</v>
      </c>
      <c r="R131" s="24">
        <v>4.6399999999999997E-2</v>
      </c>
      <c r="S131" s="24">
        <v>9.2999999999999992E-3</v>
      </c>
      <c r="T131" s="24">
        <v>7.7000000000000002E-3</v>
      </c>
      <c r="U131" s="24">
        <v>2.97</v>
      </c>
      <c r="V131" s="24">
        <v>0</v>
      </c>
      <c r="W131" s="24">
        <v>1.554</v>
      </c>
      <c r="X131" s="24">
        <v>0.56000000000000005</v>
      </c>
      <c r="Y131" s="24">
        <v>8.0182000000000002</v>
      </c>
      <c r="Z131" s="25">
        <f t="shared" si="7"/>
        <v>0.51569655538594283</v>
      </c>
      <c r="AA131" s="25">
        <f t="shared" si="8"/>
        <v>0.18583659653547491</v>
      </c>
      <c r="AB131" s="25">
        <f t="shared" si="9"/>
        <v>0.28306895865135723</v>
      </c>
      <c r="AC131" s="25">
        <f t="shared" si="10"/>
        <v>1.5397889427225059E-2</v>
      </c>
      <c r="AD131" s="25">
        <f t="shared" si="11"/>
        <v>0.73509933774834446</v>
      </c>
    </row>
    <row r="132" spans="1:30" x14ac:dyDescent="0.2">
      <c r="A132" s="24" t="s">
        <v>246</v>
      </c>
      <c r="B132" s="12">
        <v>54.230987451819928</v>
      </c>
      <c r="C132" s="12">
        <v>-161.77238664469911</v>
      </c>
      <c r="D132" s="25">
        <v>2.0799999999999999E-2</v>
      </c>
      <c r="E132" s="25">
        <v>22.29</v>
      </c>
      <c r="F132" s="25">
        <v>10.56</v>
      </c>
      <c r="G132" s="25">
        <v>0.65159999999999996</v>
      </c>
      <c r="H132" s="25">
        <v>4.4900000000000002E-2</v>
      </c>
      <c r="I132" s="25">
        <v>0.1447</v>
      </c>
      <c r="J132" s="25">
        <v>38.770000000000003</v>
      </c>
      <c r="K132" s="25">
        <v>0</v>
      </c>
      <c r="L132" s="25">
        <v>23.51</v>
      </c>
      <c r="M132" s="25">
        <v>5.04</v>
      </c>
      <c r="N132" s="25">
        <v>101.03189999999999</v>
      </c>
      <c r="O132" s="24">
        <v>1.2999999999999999E-3</v>
      </c>
      <c r="P132" s="24">
        <v>2.0169999999999999</v>
      </c>
      <c r="Q132" s="24">
        <v>0.86899999999999999</v>
      </c>
      <c r="R132" s="24">
        <v>4.24E-2</v>
      </c>
      <c r="S132" s="24">
        <v>6.7000000000000002E-3</v>
      </c>
      <c r="T132" s="24">
        <v>8.3999999999999995E-3</v>
      </c>
      <c r="U132" s="24">
        <v>2.9769999999999999</v>
      </c>
      <c r="V132" s="24">
        <v>0</v>
      </c>
      <c r="W132" s="24">
        <v>1.51</v>
      </c>
      <c r="X132" s="24">
        <v>0.57599999999999996</v>
      </c>
      <c r="Y132" s="24">
        <v>8.0077999999999996</v>
      </c>
      <c r="Z132" s="25">
        <f t="shared" si="7"/>
        <v>0.50376993394275038</v>
      </c>
      <c r="AA132" s="25">
        <f t="shared" si="8"/>
        <v>0.19216654433842664</v>
      </c>
      <c r="AB132" s="25">
        <f t="shared" si="9"/>
        <v>0.28991792887168877</v>
      </c>
      <c r="AC132" s="25">
        <f t="shared" si="10"/>
        <v>1.4145592847134182E-2</v>
      </c>
      <c r="AD132" s="25">
        <f t="shared" si="11"/>
        <v>0.72387344199424741</v>
      </c>
    </row>
    <row r="133" spans="1:30" x14ac:dyDescent="0.2">
      <c r="A133" s="24" t="s">
        <v>247</v>
      </c>
      <c r="B133" s="12">
        <v>108.46197490364261</v>
      </c>
      <c r="C133" s="12">
        <v>-107.54139919287641</v>
      </c>
      <c r="D133" s="25">
        <v>4.5400000000000003E-2</v>
      </c>
      <c r="E133" s="25">
        <v>22.39</v>
      </c>
      <c r="F133" s="25">
        <v>10.48</v>
      </c>
      <c r="G133" s="25">
        <v>0.66830000000000001</v>
      </c>
      <c r="H133" s="25">
        <v>5.21E-2</v>
      </c>
      <c r="I133" s="25">
        <v>9.3700000000000006E-2</v>
      </c>
      <c r="J133" s="25">
        <v>38.42</v>
      </c>
      <c r="K133" s="25">
        <v>0</v>
      </c>
      <c r="L133" s="25">
        <v>23.82</v>
      </c>
      <c r="M133" s="25">
        <v>4.88</v>
      </c>
      <c r="N133" s="25">
        <v>100.8494</v>
      </c>
      <c r="O133" s="24">
        <v>2.8E-3</v>
      </c>
      <c r="P133" s="24">
        <v>2.0339999999999998</v>
      </c>
      <c r="Q133" s="24">
        <v>0.86599999999999999</v>
      </c>
      <c r="R133" s="24">
        <v>4.36E-2</v>
      </c>
      <c r="S133" s="24">
        <v>7.7999999999999996E-3</v>
      </c>
      <c r="T133" s="24">
        <v>5.4000000000000003E-3</v>
      </c>
      <c r="U133" s="24">
        <v>2.9620000000000002</v>
      </c>
      <c r="V133" s="24">
        <v>0</v>
      </c>
      <c r="W133" s="24">
        <v>1.536</v>
      </c>
      <c r="X133" s="24">
        <v>0.56100000000000005</v>
      </c>
      <c r="Y133" s="24">
        <v>8.0185999999999993</v>
      </c>
      <c r="Z133" s="25">
        <f t="shared" si="7"/>
        <v>0.51087607264019153</v>
      </c>
      <c r="AA133" s="25">
        <f t="shared" si="8"/>
        <v>0.18658950309319497</v>
      </c>
      <c r="AB133" s="25">
        <f t="shared" si="9"/>
        <v>0.28803299407969135</v>
      </c>
      <c r="AC133" s="25">
        <f t="shared" si="10"/>
        <v>1.4501430186922105E-2</v>
      </c>
      <c r="AD133" s="25">
        <f t="shared" si="11"/>
        <v>0.73247496423462088</v>
      </c>
    </row>
    <row r="134" spans="1:30" x14ac:dyDescent="0.2">
      <c r="A134" s="24" t="s">
        <v>248</v>
      </c>
      <c r="B134" s="12">
        <v>162.69296235546528</v>
      </c>
      <c r="C134" s="12">
        <v>-53.310411741053734</v>
      </c>
      <c r="D134" s="25">
        <v>1.7399999999999999E-2</v>
      </c>
      <c r="E134" s="25">
        <v>22.6</v>
      </c>
      <c r="F134" s="25">
        <v>9.58</v>
      </c>
      <c r="G134" s="25">
        <v>0.56630000000000003</v>
      </c>
      <c r="H134" s="25">
        <v>3.7900000000000003E-2</v>
      </c>
      <c r="I134" s="25">
        <v>0.1085</v>
      </c>
      <c r="J134" s="25">
        <v>38.78</v>
      </c>
      <c r="K134" s="25">
        <v>0</v>
      </c>
      <c r="L134" s="25">
        <v>24.21</v>
      </c>
      <c r="M134" s="25">
        <v>5.41</v>
      </c>
      <c r="N134" s="25">
        <v>101.31010000000001</v>
      </c>
      <c r="O134" s="24">
        <v>1.1000000000000001E-3</v>
      </c>
      <c r="P134" s="24">
        <v>2.0390000000000001</v>
      </c>
      <c r="Q134" s="24">
        <v>0.78500000000000003</v>
      </c>
      <c r="R134" s="24">
        <v>3.6700000000000003E-2</v>
      </c>
      <c r="S134" s="24">
        <v>5.5999999999999999E-3</v>
      </c>
      <c r="T134" s="24">
        <v>6.1999999999999998E-3</v>
      </c>
      <c r="U134" s="24">
        <v>2.968</v>
      </c>
      <c r="V134" s="24">
        <v>0</v>
      </c>
      <c r="W134" s="24">
        <v>1.55</v>
      </c>
      <c r="X134" s="24">
        <v>0.61699999999999999</v>
      </c>
      <c r="Y134" s="24">
        <v>8.0085999999999995</v>
      </c>
      <c r="Z134" s="25">
        <f t="shared" si="7"/>
        <v>0.51862013584501621</v>
      </c>
      <c r="AA134" s="25">
        <f t="shared" si="8"/>
        <v>0.20644427342991936</v>
      </c>
      <c r="AB134" s="25">
        <f t="shared" si="9"/>
        <v>0.26265600428279856</v>
      </c>
      <c r="AC134" s="25">
        <f t="shared" si="10"/>
        <v>1.2279586442265868E-2</v>
      </c>
      <c r="AD134" s="25">
        <f t="shared" si="11"/>
        <v>0.71527457314259357</v>
      </c>
    </row>
    <row r="135" spans="1:30" x14ac:dyDescent="0.2">
      <c r="A135" s="24" t="s">
        <v>249</v>
      </c>
      <c r="B135" s="12">
        <v>216.00337409651902</v>
      </c>
      <c r="C135" s="12">
        <v>0</v>
      </c>
      <c r="D135" s="25">
        <v>0</v>
      </c>
      <c r="E135" s="25">
        <v>22.44</v>
      </c>
      <c r="F135" s="25">
        <v>8.17</v>
      </c>
      <c r="G135" s="25">
        <v>0.65249999999999997</v>
      </c>
      <c r="H135" s="25">
        <v>4.5400000000000003E-2</v>
      </c>
      <c r="I135" s="25">
        <v>6.4500000000000002E-2</v>
      </c>
      <c r="J135" s="25">
        <v>38.69</v>
      </c>
      <c r="K135" s="25">
        <v>0</v>
      </c>
      <c r="L135" s="25">
        <v>25.31</v>
      </c>
      <c r="M135" s="25">
        <v>5.7</v>
      </c>
      <c r="N135" s="25">
        <v>101.0723</v>
      </c>
      <c r="O135" s="24">
        <v>0</v>
      </c>
      <c r="P135" s="24">
        <v>2.032</v>
      </c>
      <c r="Q135" s="24">
        <v>0.67200000000000004</v>
      </c>
      <c r="R135" s="24">
        <v>4.2500000000000003E-2</v>
      </c>
      <c r="S135" s="24">
        <v>6.7999999999999996E-3</v>
      </c>
      <c r="T135" s="24">
        <v>3.7000000000000002E-3</v>
      </c>
      <c r="U135" s="24">
        <v>2.9729999999999999</v>
      </c>
      <c r="V135" s="24">
        <v>0</v>
      </c>
      <c r="W135" s="24">
        <v>1.6259999999999999</v>
      </c>
      <c r="X135" s="24">
        <v>0.65300000000000002</v>
      </c>
      <c r="Y135" s="24">
        <v>8.0090000000000003</v>
      </c>
      <c r="Z135" s="25">
        <f t="shared" si="7"/>
        <v>0.54317688324703517</v>
      </c>
      <c r="AA135" s="25">
        <f t="shared" si="8"/>
        <v>0.21813930182061134</v>
      </c>
      <c r="AB135" s="25">
        <f t="shared" si="9"/>
        <v>0.22448638717220645</v>
      </c>
      <c r="AC135" s="25">
        <f t="shared" si="10"/>
        <v>1.4197427760146986E-2</v>
      </c>
      <c r="AD135" s="25">
        <f t="shared" si="11"/>
        <v>0.71347082053532251</v>
      </c>
    </row>
    <row r="136" spans="1:30" x14ac:dyDescent="0.2">
      <c r="D136" s="25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Z136" s="25"/>
      <c r="AA136" s="25"/>
      <c r="AB136" s="25"/>
      <c r="AC136" s="25"/>
      <c r="AD136" s="25"/>
    </row>
    <row r="137" spans="1:30" x14ac:dyDescent="0.2">
      <c r="A137" s="24" t="s">
        <v>250</v>
      </c>
      <c r="B137" s="12">
        <v>0</v>
      </c>
      <c r="C137" s="12">
        <v>-221.86382773388979</v>
      </c>
      <c r="D137" s="25">
        <v>7.4999999999999997E-3</v>
      </c>
      <c r="E137" s="25">
        <v>22.44</v>
      </c>
      <c r="F137" s="25">
        <v>11.06</v>
      </c>
      <c r="G137" s="25">
        <v>0.6159</v>
      </c>
      <c r="H137" s="25">
        <v>2.58E-2</v>
      </c>
      <c r="I137" s="25">
        <v>6.5000000000000002E-2</v>
      </c>
      <c r="J137" s="25">
        <v>38.729999999999997</v>
      </c>
      <c r="K137" s="25">
        <v>0</v>
      </c>
      <c r="L137" s="25">
        <v>22.83</v>
      </c>
      <c r="M137" s="25">
        <v>4.96</v>
      </c>
      <c r="N137" s="25">
        <v>100.7341</v>
      </c>
      <c r="O137" s="24">
        <v>5.0000000000000001E-4</v>
      </c>
      <c r="P137" s="24">
        <v>2.0329999999999999</v>
      </c>
      <c r="Q137" s="24">
        <v>0.91100000000000003</v>
      </c>
      <c r="R137" s="24">
        <v>4.0099999999999997E-2</v>
      </c>
      <c r="S137" s="24">
        <v>3.8999999999999998E-3</v>
      </c>
      <c r="T137" s="24">
        <v>3.8E-3</v>
      </c>
      <c r="U137" s="24">
        <v>2.9769999999999999</v>
      </c>
      <c r="V137" s="24">
        <v>0</v>
      </c>
      <c r="W137" s="24">
        <v>1.4670000000000001</v>
      </c>
      <c r="X137" s="24">
        <v>0.56799999999999995</v>
      </c>
      <c r="Y137" s="24">
        <v>8.0043000000000006</v>
      </c>
      <c r="Z137" s="25">
        <f t="shared" si="7"/>
        <v>0.49127624660928976</v>
      </c>
      <c r="AA137" s="25">
        <f t="shared" si="8"/>
        <v>0.19021466126385586</v>
      </c>
      <c r="AB137" s="25">
        <f t="shared" si="9"/>
        <v>0.30508020494959981</v>
      </c>
      <c r="AC137" s="25">
        <f t="shared" si="10"/>
        <v>1.3428887177254612E-2</v>
      </c>
      <c r="AD137" s="25">
        <f t="shared" si="11"/>
        <v>0.72088452088452093</v>
      </c>
    </row>
    <row r="138" spans="1:30" x14ac:dyDescent="0.2">
      <c r="A138" s="24" t="s">
        <v>251</v>
      </c>
      <c r="B138" s="12">
        <v>23.43074902772085</v>
      </c>
      <c r="C138" s="12">
        <v>-198.43307870616894</v>
      </c>
      <c r="D138" s="25">
        <v>5.6000000000000001E-2</v>
      </c>
      <c r="E138" s="25">
        <v>22.47</v>
      </c>
      <c r="F138" s="25">
        <v>10.01</v>
      </c>
      <c r="G138" s="25">
        <v>0.57509999999999994</v>
      </c>
      <c r="H138" s="25">
        <v>5.9700000000000003E-2</v>
      </c>
      <c r="I138" s="25">
        <v>4.82E-2</v>
      </c>
      <c r="J138" s="25">
        <v>38.68</v>
      </c>
      <c r="K138" s="25">
        <v>0</v>
      </c>
      <c r="L138" s="25">
        <v>24.89</v>
      </c>
      <c r="M138" s="25">
        <v>4.66</v>
      </c>
      <c r="N138" s="25">
        <v>101.449</v>
      </c>
      <c r="O138" s="24">
        <v>3.3999999999999998E-3</v>
      </c>
      <c r="P138" s="24">
        <v>2.0339999999999998</v>
      </c>
      <c r="Q138" s="24">
        <v>0.82399999999999995</v>
      </c>
      <c r="R138" s="24">
        <v>3.7400000000000003E-2</v>
      </c>
      <c r="S138" s="24">
        <v>8.8999999999999999E-3</v>
      </c>
      <c r="T138" s="24">
        <v>2.8E-3</v>
      </c>
      <c r="U138" s="24">
        <v>2.97</v>
      </c>
      <c r="V138" s="24">
        <v>0</v>
      </c>
      <c r="W138" s="24">
        <v>1.599</v>
      </c>
      <c r="X138" s="24">
        <v>0.53400000000000003</v>
      </c>
      <c r="Y138" s="24">
        <v>8.0135000000000005</v>
      </c>
      <c r="Z138" s="25">
        <f t="shared" si="7"/>
        <v>0.5339967940154956</v>
      </c>
      <c r="AA138" s="25">
        <f t="shared" si="8"/>
        <v>0.17833288805770775</v>
      </c>
      <c r="AB138" s="25">
        <f t="shared" si="9"/>
        <v>0.27518033662837299</v>
      </c>
      <c r="AC138" s="25">
        <f t="shared" si="10"/>
        <v>1.2489981298423726E-2</v>
      </c>
      <c r="AD138" s="25">
        <f t="shared" si="11"/>
        <v>0.74964838255977495</v>
      </c>
    </row>
    <row r="139" spans="1:30" x14ac:dyDescent="0.2">
      <c r="A139" s="24" t="s">
        <v>252</v>
      </c>
      <c r="B139" s="12">
        <v>47.638185901540318</v>
      </c>
      <c r="C139" s="12">
        <v>-174.22564183234948</v>
      </c>
      <c r="D139" s="25">
        <v>4.7000000000000002E-3</v>
      </c>
      <c r="E139" s="25">
        <v>22.56</v>
      </c>
      <c r="F139" s="25">
        <v>10.55</v>
      </c>
      <c r="G139" s="25">
        <v>0.59940000000000004</v>
      </c>
      <c r="H139" s="25">
        <v>8.5099999999999995E-2</v>
      </c>
      <c r="I139" s="25">
        <v>3.8100000000000002E-2</v>
      </c>
      <c r="J139" s="25">
        <v>38.54</v>
      </c>
      <c r="K139" s="25">
        <v>0</v>
      </c>
      <c r="L139" s="25">
        <v>23.75</v>
      </c>
      <c r="M139" s="25">
        <v>4.9400000000000004</v>
      </c>
      <c r="N139" s="25">
        <v>101.0673</v>
      </c>
      <c r="O139" s="24">
        <v>2.9999999999999997E-4</v>
      </c>
      <c r="P139" s="24">
        <v>2.044</v>
      </c>
      <c r="Q139" s="24">
        <v>0.86799999999999999</v>
      </c>
      <c r="R139" s="24">
        <v>3.9E-2</v>
      </c>
      <c r="S139" s="24">
        <v>1.2699999999999999E-2</v>
      </c>
      <c r="T139" s="24">
        <v>2.2000000000000001E-3</v>
      </c>
      <c r="U139" s="24">
        <v>2.9609999999999999</v>
      </c>
      <c r="V139" s="24">
        <v>0</v>
      </c>
      <c r="W139" s="24">
        <v>1.5269999999999999</v>
      </c>
      <c r="X139" s="24">
        <v>0.56599999999999995</v>
      </c>
      <c r="Y139" s="24">
        <v>8.0202000000000009</v>
      </c>
      <c r="Z139" s="25">
        <f t="shared" si="7"/>
        <v>0.50900000000000001</v>
      </c>
      <c r="AA139" s="25">
        <f t="shared" si="8"/>
        <v>0.18866666666666665</v>
      </c>
      <c r="AB139" s="25">
        <f t="shared" si="9"/>
        <v>0.28933333333333333</v>
      </c>
      <c r="AC139" s="25">
        <f t="shared" si="10"/>
        <v>1.2999999999999999E-2</v>
      </c>
      <c r="AD139" s="25">
        <f t="shared" si="11"/>
        <v>0.72957477305303386</v>
      </c>
    </row>
    <row r="140" spans="1:30" x14ac:dyDescent="0.2">
      <c r="A140" s="24" t="s">
        <v>253</v>
      </c>
      <c r="B140" s="12">
        <v>71.845622775359786</v>
      </c>
      <c r="C140" s="12">
        <v>-150.01820495853002</v>
      </c>
      <c r="D140" s="25">
        <v>1.3599999999999999E-2</v>
      </c>
      <c r="E140" s="25">
        <v>22.43</v>
      </c>
      <c r="F140" s="25">
        <v>10.37</v>
      </c>
      <c r="G140" s="25">
        <v>0.59830000000000005</v>
      </c>
      <c r="H140" s="25">
        <v>0</v>
      </c>
      <c r="I140" s="25">
        <v>3.6299999999999999E-2</v>
      </c>
      <c r="J140" s="25">
        <v>38.51</v>
      </c>
      <c r="K140" s="25">
        <v>0</v>
      </c>
      <c r="L140" s="25">
        <v>24.63</v>
      </c>
      <c r="M140" s="25">
        <v>4.57</v>
      </c>
      <c r="N140" s="25">
        <v>101.1581</v>
      </c>
      <c r="O140" s="24">
        <v>8.0000000000000004E-4</v>
      </c>
      <c r="P140" s="24">
        <v>2.0369999999999999</v>
      </c>
      <c r="Q140" s="24">
        <v>0.85599999999999998</v>
      </c>
      <c r="R140" s="24">
        <v>3.9E-2</v>
      </c>
      <c r="S140" s="24">
        <v>0</v>
      </c>
      <c r="T140" s="24">
        <v>2.0999999999999999E-3</v>
      </c>
      <c r="U140" s="24">
        <v>2.9670000000000001</v>
      </c>
      <c r="V140" s="24">
        <v>0</v>
      </c>
      <c r="W140" s="24">
        <v>1.587</v>
      </c>
      <c r="X140" s="24">
        <v>0.52400000000000002</v>
      </c>
      <c r="Y140" s="24">
        <v>8.0129000000000001</v>
      </c>
      <c r="Z140" s="25">
        <f t="shared" si="7"/>
        <v>0.52794411177644718</v>
      </c>
      <c r="AA140" s="25">
        <f t="shared" si="8"/>
        <v>0.17431803060545578</v>
      </c>
      <c r="AB140" s="25">
        <f t="shared" si="9"/>
        <v>0.28476380572188953</v>
      </c>
      <c r="AC140" s="25">
        <f t="shared" si="10"/>
        <v>1.2974051896207584E-2</v>
      </c>
      <c r="AD140" s="25">
        <f t="shared" si="11"/>
        <v>0.75177640928469924</v>
      </c>
    </row>
    <row r="141" spans="1:30" x14ac:dyDescent="0.2">
      <c r="A141" s="24" t="s">
        <v>254</v>
      </c>
      <c r="B141" s="12">
        <v>94.692942092952379</v>
      </c>
      <c r="C141" s="12">
        <v>-127.17088564093743</v>
      </c>
      <c r="D141" s="25">
        <v>3.3500000000000002E-2</v>
      </c>
      <c r="E141" s="25">
        <v>22.33</v>
      </c>
      <c r="F141" s="25">
        <v>9.73</v>
      </c>
      <c r="G141" s="25">
        <v>0.69899999999999995</v>
      </c>
      <c r="H141" s="25">
        <v>3.39E-2</v>
      </c>
      <c r="I141" s="25">
        <v>1.2999999999999999E-2</v>
      </c>
      <c r="J141" s="25">
        <v>38.31</v>
      </c>
      <c r="K141" s="25">
        <v>0</v>
      </c>
      <c r="L141" s="25">
        <v>26.11</v>
      </c>
      <c r="M141" s="25">
        <v>4.21</v>
      </c>
      <c r="N141" s="25">
        <v>101.4693</v>
      </c>
      <c r="O141" s="24">
        <v>2E-3</v>
      </c>
      <c r="P141" s="24">
        <v>2.0329999999999999</v>
      </c>
      <c r="Q141" s="24">
        <v>0.80600000000000005</v>
      </c>
      <c r="R141" s="24">
        <v>4.5699999999999998E-2</v>
      </c>
      <c r="S141" s="24">
        <v>5.1000000000000004E-3</v>
      </c>
      <c r="T141" s="24">
        <v>8.0000000000000004E-4</v>
      </c>
      <c r="U141" s="24">
        <v>2.96</v>
      </c>
      <c r="V141" s="24">
        <v>0</v>
      </c>
      <c r="W141" s="24">
        <v>1.6870000000000001</v>
      </c>
      <c r="X141" s="24">
        <v>0.48499999999999999</v>
      </c>
      <c r="Y141" s="24">
        <v>8.0245999999999995</v>
      </c>
      <c r="Z141" s="25">
        <f t="shared" si="7"/>
        <v>0.55792572014419417</v>
      </c>
      <c r="AA141" s="25">
        <f t="shared" si="8"/>
        <v>0.16039951053345236</v>
      </c>
      <c r="AB141" s="25">
        <f t="shared" si="9"/>
        <v>0.26656083606177866</v>
      </c>
      <c r="AC141" s="25">
        <f t="shared" si="10"/>
        <v>1.5113933260574792E-2</v>
      </c>
      <c r="AD141" s="25">
        <f t="shared" si="11"/>
        <v>0.77670349907918967</v>
      </c>
    </row>
    <row r="142" spans="1:30" x14ac:dyDescent="0.2">
      <c r="A142" s="24" t="s">
        <v>255</v>
      </c>
      <c r="B142" s="12">
        <v>121.71145426516749</v>
      </c>
      <c r="C142" s="12">
        <v>-100.15237346872232</v>
      </c>
      <c r="D142" s="25">
        <v>2.63E-2</v>
      </c>
      <c r="E142" s="25">
        <v>22.48</v>
      </c>
      <c r="F142" s="25">
        <v>9.5</v>
      </c>
      <c r="G142" s="25">
        <v>0.66459999999999997</v>
      </c>
      <c r="H142" s="25">
        <v>6.4199999999999993E-2</v>
      </c>
      <c r="I142" s="25">
        <v>0.1028</v>
      </c>
      <c r="J142" s="25">
        <v>38.840000000000003</v>
      </c>
      <c r="K142" s="25">
        <v>0</v>
      </c>
      <c r="L142" s="25">
        <v>24.54</v>
      </c>
      <c r="M142" s="25">
        <v>5.4</v>
      </c>
      <c r="N142" s="25">
        <v>101.61790000000001</v>
      </c>
      <c r="O142" s="24">
        <v>1.6000000000000001E-3</v>
      </c>
      <c r="P142" s="24">
        <v>2.0249999999999999</v>
      </c>
      <c r="Q142" s="24">
        <v>0.77800000000000002</v>
      </c>
      <c r="R142" s="24">
        <v>4.2999999999999997E-2</v>
      </c>
      <c r="S142" s="24">
        <v>9.4999999999999998E-3</v>
      </c>
      <c r="T142" s="24">
        <v>5.8999999999999999E-3</v>
      </c>
      <c r="U142" s="24">
        <v>2.9689999999999999</v>
      </c>
      <c r="V142" s="24">
        <v>0</v>
      </c>
      <c r="W142" s="24">
        <v>1.569</v>
      </c>
      <c r="X142" s="24">
        <v>0.61499999999999999</v>
      </c>
      <c r="Y142" s="24">
        <v>8.016</v>
      </c>
      <c r="Z142" s="25">
        <f t="shared" si="7"/>
        <v>0.52212978369384355</v>
      </c>
      <c r="AA142" s="25">
        <f t="shared" si="8"/>
        <v>0.20465890183028285</v>
      </c>
      <c r="AB142" s="25">
        <f t="shared" si="9"/>
        <v>0.2589018302828619</v>
      </c>
      <c r="AC142" s="25">
        <f t="shared" si="10"/>
        <v>1.4309484193011647E-2</v>
      </c>
      <c r="AD142" s="25">
        <f t="shared" si="11"/>
        <v>0.7184065934065933</v>
      </c>
    </row>
    <row r="143" spans="1:30" x14ac:dyDescent="0.2">
      <c r="A143" s="24" t="s">
        <v>256</v>
      </c>
      <c r="B143" s="12">
        <v>145.91889113898696</v>
      </c>
      <c r="C143" s="12">
        <v>-75.944936594902842</v>
      </c>
      <c r="D143" s="25">
        <v>1.18E-2</v>
      </c>
      <c r="E143" s="25">
        <v>22.53</v>
      </c>
      <c r="F143" s="25">
        <v>9.86</v>
      </c>
      <c r="G143" s="25">
        <v>0.62539999999999996</v>
      </c>
      <c r="H143" s="25">
        <v>1.4200000000000001E-2</v>
      </c>
      <c r="I143" s="25">
        <v>0.1348</v>
      </c>
      <c r="J143" s="25">
        <v>38.69</v>
      </c>
      <c r="K143" s="25">
        <v>0</v>
      </c>
      <c r="L143" s="25">
        <v>24</v>
      </c>
      <c r="M143" s="25">
        <v>5.49</v>
      </c>
      <c r="N143" s="25">
        <v>101.3561</v>
      </c>
      <c r="O143" s="24">
        <v>6.9999999999999999E-4</v>
      </c>
      <c r="P143" s="24">
        <v>2.0329999999999999</v>
      </c>
      <c r="Q143" s="24">
        <v>0.80800000000000005</v>
      </c>
      <c r="R143" s="24">
        <v>4.0500000000000001E-2</v>
      </c>
      <c r="S143" s="24">
        <v>2.0999999999999999E-3</v>
      </c>
      <c r="T143" s="24">
        <v>7.7999999999999996E-3</v>
      </c>
      <c r="U143" s="24">
        <v>2.9609999999999999</v>
      </c>
      <c r="V143" s="24">
        <v>0</v>
      </c>
      <c r="W143" s="24">
        <v>1.536</v>
      </c>
      <c r="X143" s="24">
        <v>0.626</v>
      </c>
      <c r="Y143" s="24">
        <v>8.0152000000000001</v>
      </c>
      <c r="Z143" s="25">
        <f t="shared" si="7"/>
        <v>0.51021425012456401</v>
      </c>
      <c r="AA143" s="25">
        <f t="shared" si="8"/>
        <v>0.20793888058462046</v>
      </c>
      <c r="AB143" s="25">
        <f t="shared" si="9"/>
        <v>0.26839395449260922</v>
      </c>
      <c r="AC143" s="25">
        <f t="shared" si="10"/>
        <v>1.3452914798206279E-2</v>
      </c>
      <c r="AD143" s="25">
        <f t="shared" si="11"/>
        <v>0.71045328399629981</v>
      </c>
    </row>
    <row r="144" spans="1:30" x14ac:dyDescent="0.2">
      <c r="A144" s="24" t="s">
        <v>257</v>
      </c>
      <c r="B144" s="12">
        <v>170.75837583573758</v>
      </c>
      <c r="C144" s="12">
        <v>-51.105451898152225</v>
      </c>
      <c r="D144" s="25">
        <v>1.6799999999999999E-2</v>
      </c>
      <c r="E144" s="25">
        <v>22.6</v>
      </c>
      <c r="F144" s="25">
        <v>9.7200000000000006</v>
      </c>
      <c r="G144" s="25">
        <v>0.56000000000000005</v>
      </c>
      <c r="H144" s="25">
        <v>4.7399999999999998E-2</v>
      </c>
      <c r="I144" s="25">
        <v>0.11650000000000001</v>
      </c>
      <c r="J144" s="25">
        <v>38.799999999999997</v>
      </c>
      <c r="K144" s="25">
        <v>0</v>
      </c>
      <c r="L144" s="25">
        <v>24.15</v>
      </c>
      <c r="M144" s="25">
        <v>5.3</v>
      </c>
      <c r="N144" s="25">
        <v>101.3107</v>
      </c>
      <c r="O144" s="24">
        <v>1E-3</v>
      </c>
      <c r="P144" s="24">
        <v>2.0390000000000001</v>
      </c>
      <c r="Q144" s="24">
        <v>0.79700000000000004</v>
      </c>
      <c r="R144" s="24">
        <v>3.6299999999999999E-2</v>
      </c>
      <c r="S144" s="24">
        <v>7.0000000000000001E-3</v>
      </c>
      <c r="T144" s="24">
        <v>6.7000000000000002E-3</v>
      </c>
      <c r="U144" s="24">
        <v>2.97</v>
      </c>
      <c r="V144" s="24">
        <v>0</v>
      </c>
      <c r="W144" s="24">
        <v>1.546</v>
      </c>
      <c r="X144" s="24">
        <v>0.60399999999999998</v>
      </c>
      <c r="Y144" s="24">
        <v>8.0069999999999997</v>
      </c>
      <c r="Z144" s="25">
        <f t="shared" si="7"/>
        <v>0.51821808064894581</v>
      </c>
      <c r="AA144" s="25">
        <f t="shared" si="8"/>
        <v>0.20246036268561657</v>
      </c>
      <c r="AB144" s="25">
        <f t="shared" si="9"/>
        <v>0.26715382294774243</v>
      </c>
      <c r="AC144" s="25">
        <f t="shared" si="10"/>
        <v>1.2167733717695169E-2</v>
      </c>
      <c r="AD144" s="25">
        <f t="shared" si="11"/>
        <v>0.71906976744186046</v>
      </c>
    </row>
    <row r="145" spans="1:30" x14ac:dyDescent="0.2">
      <c r="A145" s="24" t="s">
        <v>258</v>
      </c>
      <c r="B145" s="12">
        <v>193.56188433771891</v>
      </c>
      <c r="C145" s="12">
        <v>-28.301943396170884</v>
      </c>
      <c r="D145" s="25">
        <v>7.3000000000000001E-3</v>
      </c>
      <c r="E145" s="25">
        <v>22.39</v>
      </c>
      <c r="F145" s="25">
        <v>9.73</v>
      </c>
      <c r="G145" s="25">
        <v>0.58499999999999996</v>
      </c>
      <c r="H145" s="25">
        <v>1.1900000000000001E-2</v>
      </c>
      <c r="I145" s="25">
        <v>9.6000000000000002E-2</v>
      </c>
      <c r="J145" s="25">
        <v>38.64</v>
      </c>
      <c r="K145" s="25">
        <v>0</v>
      </c>
      <c r="L145" s="25">
        <v>24.83</v>
      </c>
      <c r="M145" s="25">
        <v>4.95</v>
      </c>
      <c r="N145" s="25">
        <v>101.2401</v>
      </c>
      <c r="O145" s="24">
        <v>4.0000000000000002E-4</v>
      </c>
      <c r="P145" s="24">
        <v>2.0289999999999999</v>
      </c>
      <c r="Q145" s="24">
        <v>0.80100000000000005</v>
      </c>
      <c r="R145" s="24">
        <v>3.8100000000000002E-2</v>
      </c>
      <c r="S145" s="24">
        <v>1.8E-3</v>
      </c>
      <c r="T145" s="24">
        <v>5.4999999999999997E-3</v>
      </c>
      <c r="U145" s="24">
        <v>2.9710000000000001</v>
      </c>
      <c r="V145" s="24">
        <v>0</v>
      </c>
      <c r="W145" s="24">
        <v>1.5960000000000001</v>
      </c>
      <c r="X145" s="24">
        <v>0.56699999999999995</v>
      </c>
      <c r="Y145" s="24">
        <v>8.0098000000000003</v>
      </c>
      <c r="Z145" s="25">
        <f t="shared" si="7"/>
        <v>0.53162786049765165</v>
      </c>
      <c r="AA145" s="25">
        <f t="shared" si="8"/>
        <v>0.18886779254521829</v>
      </c>
      <c r="AB145" s="25">
        <f t="shared" si="9"/>
        <v>0.26681323073848306</v>
      </c>
      <c r="AC145" s="25">
        <f t="shared" si="10"/>
        <v>1.2691116218646947E-2</v>
      </c>
      <c r="AD145" s="25">
        <f t="shared" si="11"/>
        <v>0.73786407766990292</v>
      </c>
    </row>
    <row r="146" spans="1:30" x14ac:dyDescent="0.2">
      <c r="A146" s="24" t="s">
        <v>259</v>
      </c>
      <c r="B146" s="12">
        <v>221.86382773388979</v>
      </c>
      <c r="C146" s="12">
        <v>0</v>
      </c>
      <c r="D146" s="25">
        <v>5.5800000000000002E-2</v>
      </c>
      <c r="E146" s="25">
        <v>22.63</v>
      </c>
      <c r="F146" s="25">
        <v>8.32</v>
      </c>
      <c r="G146" s="25">
        <v>0.58760000000000001</v>
      </c>
      <c r="H146" s="25">
        <v>4.0300000000000002E-2</v>
      </c>
      <c r="I146" s="25">
        <v>2.1499999999999998E-2</v>
      </c>
      <c r="J146" s="25">
        <v>38.979999999999997</v>
      </c>
      <c r="K146" s="25">
        <v>0</v>
      </c>
      <c r="L146" s="25">
        <v>24.64</v>
      </c>
      <c r="M146" s="25">
        <v>5.98</v>
      </c>
      <c r="N146" s="25">
        <v>101.2551</v>
      </c>
      <c r="O146" s="24">
        <v>3.3999999999999998E-3</v>
      </c>
      <c r="P146" s="24">
        <v>2.0379999999999998</v>
      </c>
      <c r="Q146" s="24">
        <v>0.68100000000000005</v>
      </c>
      <c r="R146" s="24">
        <v>3.7999999999999999E-2</v>
      </c>
      <c r="S146" s="24">
        <v>6.0000000000000001E-3</v>
      </c>
      <c r="T146" s="24">
        <v>1.1999999999999999E-3</v>
      </c>
      <c r="U146" s="24">
        <v>2.9790000000000001</v>
      </c>
      <c r="V146" s="24">
        <v>0</v>
      </c>
      <c r="W146" s="24">
        <v>1.575</v>
      </c>
      <c r="X146" s="24">
        <v>0.68100000000000005</v>
      </c>
      <c r="Y146" s="24">
        <v>8.0025999999999993</v>
      </c>
      <c r="Z146" s="25">
        <f t="shared" si="7"/>
        <v>0.52941176470588236</v>
      </c>
      <c r="AA146" s="25">
        <f t="shared" si="8"/>
        <v>0.22890756302521009</v>
      </c>
      <c r="AB146" s="25">
        <f t="shared" si="9"/>
        <v>0.22890756302521009</v>
      </c>
      <c r="AC146" s="25">
        <f t="shared" si="10"/>
        <v>1.2773109243697478E-2</v>
      </c>
      <c r="AD146" s="25">
        <f t="shared" si="11"/>
        <v>0.69813829787234039</v>
      </c>
    </row>
    <row r="147" spans="1:30" x14ac:dyDescent="0.2">
      <c r="D147" s="25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Z147" s="25"/>
      <c r="AA147" s="25"/>
      <c r="AB147" s="25"/>
      <c r="AC147" s="25"/>
      <c r="AD147" s="25"/>
    </row>
    <row r="148" spans="1:30" x14ac:dyDescent="0.2">
      <c r="A148" s="24" t="s">
        <v>260</v>
      </c>
      <c r="D148" s="25">
        <f t="shared" ref="D148:AD148" si="19">AVERAGE(D137:D146,D131:D135)</f>
        <v>2.3066666666666666E-2</v>
      </c>
      <c r="E148" s="25">
        <f t="shared" si="19"/>
        <v>22.449333333333335</v>
      </c>
      <c r="F148" s="25">
        <f t="shared" si="19"/>
        <v>9.8633333333333333</v>
      </c>
      <c r="G148" s="25">
        <f t="shared" si="19"/>
        <v>0.62395999999999996</v>
      </c>
      <c r="H148" s="25">
        <f t="shared" si="19"/>
        <v>4.1640000000000003E-2</v>
      </c>
      <c r="I148" s="25">
        <f t="shared" si="19"/>
        <v>8.1113333333333329E-2</v>
      </c>
      <c r="J148" s="25">
        <f t="shared" si="19"/>
        <v>38.657333333333327</v>
      </c>
      <c r="K148" s="25">
        <f t="shared" si="19"/>
        <v>0</v>
      </c>
      <c r="L148" s="25">
        <f t="shared" si="19"/>
        <v>24.352666666666664</v>
      </c>
      <c r="M148" s="25">
        <f t="shared" si="19"/>
        <v>5.0906666666666665</v>
      </c>
      <c r="N148" s="25">
        <f t="shared" si="19"/>
        <v>101.18304666666667</v>
      </c>
      <c r="O148" s="25">
        <f t="shared" si="19"/>
        <v>1.4066666666666667E-3</v>
      </c>
      <c r="P148" s="25">
        <f t="shared" si="19"/>
        <v>2.0322</v>
      </c>
      <c r="Q148" s="25">
        <f t="shared" si="19"/>
        <v>0.81166666666666665</v>
      </c>
      <c r="R148" s="25">
        <f t="shared" si="19"/>
        <v>4.0579999999999991E-2</v>
      </c>
      <c r="S148" s="25">
        <f t="shared" si="19"/>
        <v>6.2133333333333329E-3</v>
      </c>
      <c r="T148" s="25">
        <f t="shared" si="19"/>
        <v>4.6799999999999993E-3</v>
      </c>
      <c r="U148" s="25">
        <f t="shared" si="19"/>
        <v>2.9689999999999999</v>
      </c>
      <c r="V148" s="25">
        <f t="shared" si="19"/>
        <v>0</v>
      </c>
      <c r="W148" s="25">
        <f t="shared" si="19"/>
        <v>1.5643333333333336</v>
      </c>
      <c r="X148" s="25">
        <f t="shared" si="19"/>
        <v>0.58246666666666669</v>
      </c>
      <c r="Y148" s="25">
        <f t="shared" si="19"/>
        <v>8.0125533333333347</v>
      </c>
      <c r="Z148" s="25">
        <f t="shared" si="19"/>
        <v>0.52159227955181664</v>
      </c>
      <c r="AA148" s="25">
        <f t="shared" si="19"/>
        <v>0.19426276513438093</v>
      </c>
      <c r="AB148" s="25">
        <f t="shared" si="19"/>
        <v>0.27061674608264152</v>
      </c>
      <c r="AC148" s="25">
        <f t="shared" si="19"/>
        <v>1.3528209231160828E-2</v>
      </c>
      <c r="AD148" s="25">
        <f t="shared" si="19"/>
        <v>0.72884751619355614</v>
      </c>
    </row>
    <row r="149" spans="1:30" x14ac:dyDescent="0.2">
      <c r="D149" s="25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  <c r="P149" s="25"/>
      <c r="Q149" s="25"/>
      <c r="R149" s="25"/>
      <c r="S149" s="25"/>
      <c r="T149" s="25"/>
      <c r="U149" s="25"/>
      <c r="V149" s="25"/>
      <c r="W149" s="25"/>
      <c r="X149" s="25"/>
      <c r="Y149" s="25"/>
      <c r="Z149" s="25"/>
      <c r="AA149" s="25"/>
      <c r="AB149" s="25"/>
      <c r="AC149" s="25"/>
      <c r="AD149" s="25"/>
    </row>
    <row r="150" spans="1:30" x14ac:dyDescent="0.2">
      <c r="A150" s="24" t="s">
        <v>261</v>
      </c>
      <c r="B150" s="12">
        <v>0</v>
      </c>
      <c r="C150" s="12">
        <v>-145.90757985001432</v>
      </c>
      <c r="D150" s="25">
        <v>0</v>
      </c>
      <c r="E150" s="25">
        <v>22.07</v>
      </c>
      <c r="F150" s="25">
        <v>9.7799999999999994</v>
      </c>
      <c r="G150" s="25">
        <v>1.0109999999999999</v>
      </c>
      <c r="H150" s="25">
        <v>7.7299999999999994E-2</v>
      </c>
      <c r="I150" s="25">
        <v>0.1182</v>
      </c>
      <c r="J150" s="25">
        <v>38.4</v>
      </c>
      <c r="K150" s="25">
        <v>0</v>
      </c>
      <c r="L150" s="25">
        <v>25.8</v>
      </c>
      <c r="M150" s="25">
        <v>4.2</v>
      </c>
      <c r="N150" s="25">
        <v>101.4564</v>
      </c>
      <c r="O150" s="24">
        <v>0</v>
      </c>
      <c r="P150" s="24">
        <v>2.0110000000000001</v>
      </c>
      <c r="Q150" s="24">
        <v>0.81</v>
      </c>
      <c r="R150" s="24">
        <v>6.6199999999999995E-2</v>
      </c>
      <c r="S150" s="24">
        <v>1.1599999999999999E-2</v>
      </c>
      <c r="T150" s="24">
        <v>6.8999999999999999E-3</v>
      </c>
      <c r="U150" s="24">
        <v>2.968</v>
      </c>
      <c r="V150" s="24">
        <v>0</v>
      </c>
      <c r="W150" s="24">
        <v>1.6679999999999999</v>
      </c>
      <c r="X150" s="24">
        <v>0.48399999999999999</v>
      </c>
      <c r="Y150" s="24">
        <v>8.0258000000000003</v>
      </c>
      <c r="Z150" s="25">
        <f t="shared" si="7"/>
        <v>0.55082227065583511</v>
      </c>
      <c r="AA150" s="25">
        <f t="shared" si="8"/>
        <v>0.15983092266032625</v>
      </c>
      <c r="AB150" s="25">
        <f t="shared" si="9"/>
        <v>0.26748563503071132</v>
      </c>
      <c r="AC150" s="25">
        <f t="shared" si="10"/>
        <v>2.186117165312727E-2</v>
      </c>
      <c r="AD150" s="25">
        <f t="shared" si="11"/>
        <v>0.77509293680297386</v>
      </c>
    </row>
    <row r="151" spans="1:30" x14ac:dyDescent="0.2">
      <c r="A151" s="24" t="s">
        <v>262</v>
      </c>
      <c r="B151" s="12">
        <v>36.715119501368903</v>
      </c>
      <c r="C151" s="12">
        <v>-109.19246034864543</v>
      </c>
      <c r="D151" s="25">
        <v>5.3400000000000003E-2</v>
      </c>
      <c r="E151" s="25">
        <v>22.28</v>
      </c>
      <c r="F151" s="25">
        <v>9.43</v>
      </c>
      <c r="G151" s="25">
        <v>0.58940000000000003</v>
      </c>
      <c r="H151" s="25">
        <v>6.0400000000000002E-2</v>
      </c>
      <c r="I151" s="25">
        <v>0.15</v>
      </c>
      <c r="J151" s="25">
        <v>38.369999999999997</v>
      </c>
      <c r="K151" s="25">
        <v>8.9999999999999998E-4</v>
      </c>
      <c r="L151" s="25">
        <v>26.22</v>
      </c>
      <c r="M151" s="25">
        <v>4.58</v>
      </c>
      <c r="N151" s="25">
        <v>101.73399999999999</v>
      </c>
      <c r="O151" s="24">
        <v>3.2000000000000002E-3</v>
      </c>
      <c r="P151" s="24">
        <v>2.0219999999999998</v>
      </c>
      <c r="Q151" s="24">
        <v>0.77800000000000002</v>
      </c>
      <c r="R151" s="24">
        <v>3.8399999999999997E-2</v>
      </c>
      <c r="S151" s="24">
        <v>8.9999999999999993E-3</v>
      </c>
      <c r="T151" s="24">
        <v>8.6999999999999994E-3</v>
      </c>
      <c r="U151" s="24">
        <v>2.9550000000000001</v>
      </c>
      <c r="V151" s="24">
        <v>1E-4</v>
      </c>
      <c r="W151" s="24">
        <v>1.6890000000000001</v>
      </c>
      <c r="X151" s="24">
        <v>0.52600000000000002</v>
      </c>
      <c r="Y151" s="24">
        <v>8.0294000000000008</v>
      </c>
      <c r="Z151" s="25">
        <f t="shared" si="7"/>
        <v>0.55716830507356341</v>
      </c>
      <c r="AA151" s="25">
        <f t="shared" si="8"/>
        <v>0.17351718677838623</v>
      </c>
      <c r="AB151" s="25">
        <f t="shared" si="9"/>
        <v>0.25664709375206179</v>
      </c>
      <c r="AC151" s="25">
        <f t="shared" si="10"/>
        <v>1.2667414395988652E-2</v>
      </c>
      <c r="AD151" s="25">
        <f t="shared" si="11"/>
        <v>0.76252821670428905</v>
      </c>
    </row>
    <row r="152" spans="1:30" x14ac:dyDescent="0.2">
      <c r="A152" s="24" t="s">
        <v>263</v>
      </c>
      <c r="B152" s="12">
        <v>73.060683192142122</v>
      </c>
      <c r="C152" s="12">
        <v>-72.846896657872207</v>
      </c>
      <c r="D152" s="25">
        <v>3.4799999999999998E-2</v>
      </c>
      <c r="E152" s="25">
        <v>22.25</v>
      </c>
      <c r="F152" s="25">
        <v>8.06</v>
      </c>
      <c r="G152" s="25">
        <v>0.55269999999999997</v>
      </c>
      <c r="H152" s="25">
        <v>0</v>
      </c>
      <c r="I152" s="25">
        <v>0.1179</v>
      </c>
      <c r="J152" s="25">
        <v>38.549999999999997</v>
      </c>
      <c r="K152" s="25">
        <v>0</v>
      </c>
      <c r="L152" s="25">
        <v>26.99</v>
      </c>
      <c r="M152" s="25">
        <v>5</v>
      </c>
      <c r="N152" s="25">
        <v>101.5553</v>
      </c>
      <c r="O152" s="24">
        <v>2.0999999999999999E-3</v>
      </c>
      <c r="P152" s="24">
        <v>2.02</v>
      </c>
      <c r="Q152" s="24">
        <v>0.66500000000000004</v>
      </c>
      <c r="R152" s="24">
        <v>3.61E-2</v>
      </c>
      <c r="S152" s="24">
        <v>0</v>
      </c>
      <c r="T152" s="24">
        <v>6.7999999999999996E-3</v>
      </c>
      <c r="U152" s="24">
        <v>2.9689999999999999</v>
      </c>
      <c r="V152" s="24">
        <v>0</v>
      </c>
      <c r="W152" s="24">
        <v>1.7390000000000001</v>
      </c>
      <c r="X152" s="24">
        <v>0.57399999999999995</v>
      </c>
      <c r="Y152" s="24">
        <v>8.0120000000000005</v>
      </c>
      <c r="Z152" s="25">
        <f t="shared" si="7"/>
        <v>0.57695497826880338</v>
      </c>
      <c r="AA152" s="25">
        <f t="shared" si="8"/>
        <v>0.19043827344812711</v>
      </c>
      <c r="AB152" s="25">
        <f t="shared" si="9"/>
        <v>0.22062970704356194</v>
      </c>
      <c r="AC152" s="25">
        <f t="shared" si="10"/>
        <v>1.1977041239507647E-2</v>
      </c>
      <c r="AD152" s="25">
        <f t="shared" si="11"/>
        <v>0.75183744055339385</v>
      </c>
    </row>
    <row r="153" spans="1:30" x14ac:dyDescent="0.2">
      <c r="A153" s="24" t="s">
        <v>264</v>
      </c>
      <c r="B153" s="12">
        <v>110.06068319213904</v>
      </c>
      <c r="C153" s="12">
        <v>-35.846896657875298</v>
      </c>
      <c r="D153" s="25">
        <v>3.4799999999999998E-2</v>
      </c>
      <c r="E153" s="25">
        <v>22.38</v>
      </c>
      <c r="F153" s="25">
        <v>7.59</v>
      </c>
      <c r="G153" s="25">
        <v>0.63690000000000002</v>
      </c>
      <c r="H153" s="25">
        <v>0</v>
      </c>
      <c r="I153" s="25">
        <v>0.11210000000000001</v>
      </c>
      <c r="J153" s="25">
        <v>38.43</v>
      </c>
      <c r="K153" s="25">
        <v>0</v>
      </c>
      <c r="L153" s="25">
        <v>27.12</v>
      </c>
      <c r="M153" s="25">
        <v>5.18</v>
      </c>
      <c r="N153" s="25">
        <v>101.4837</v>
      </c>
      <c r="O153" s="24">
        <v>2.0999999999999999E-3</v>
      </c>
      <c r="P153" s="24">
        <v>2.0329999999999999</v>
      </c>
      <c r="Q153" s="24">
        <v>0.626</v>
      </c>
      <c r="R153" s="24">
        <v>4.1599999999999998E-2</v>
      </c>
      <c r="S153" s="24">
        <v>0</v>
      </c>
      <c r="T153" s="24">
        <v>6.4999999999999997E-3</v>
      </c>
      <c r="U153" s="24">
        <v>2.9620000000000002</v>
      </c>
      <c r="V153" s="24">
        <v>0</v>
      </c>
      <c r="W153" s="24">
        <v>1.748</v>
      </c>
      <c r="X153" s="24">
        <v>0.59499999999999997</v>
      </c>
      <c r="Y153" s="24">
        <v>8.0142000000000007</v>
      </c>
      <c r="Z153" s="25">
        <f t="shared" si="7"/>
        <v>0.58061515976881695</v>
      </c>
      <c r="AA153" s="25">
        <f t="shared" si="8"/>
        <v>0.19763502291901947</v>
      </c>
      <c r="AB153" s="25">
        <f t="shared" si="9"/>
        <v>0.20793197369295155</v>
      </c>
      <c r="AC153" s="25">
        <f t="shared" si="10"/>
        <v>1.3817843619212115E-2</v>
      </c>
      <c r="AD153" s="25">
        <f t="shared" si="11"/>
        <v>0.74605206999573193</v>
      </c>
    </row>
    <row r="154" spans="1:30" x14ac:dyDescent="0.2">
      <c r="A154" s="24" t="s">
        <v>265</v>
      </c>
      <c r="B154" s="12">
        <v>145.90757985001434</v>
      </c>
      <c r="C154" s="12">
        <v>0</v>
      </c>
      <c r="D154" s="25">
        <v>3.5499999999999997E-2</v>
      </c>
      <c r="E154" s="25">
        <v>22.35</v>
      </c>
      <c r="F154" s="25">
        <v>8.89</v>
      </c>
      <c r="G154" s="25">
        <v>0.6421</v>
      </c>
      <c r="H154" s="25">
        <v>0</v>
      </c>
      <c r="I154" s="25">
        <v>6.5100000000000005E-2</v>
      </c>
      <c r="J154" s="25">
        <v>38.630000000000003</v>
      </c>
      <c r="K154" s="25">
        <v>0</v>
      </c>
      <c r="L154" s="25">
        <v>26.42</v>
      </c>
      <c r="M154" s="25">
        <v>4.6399999999999997</v>
      </c>
      <c r="N154" s="25">
        <v>101.6726</v>
      </c>
      <c r="O154" s="24">
        <v>2.2000000000000001E-3</v>
      </c>
      <c r="P154" s="24">
        <v>2.0259999999999998</v>
      </c>
      <c r="Q154" s="24">
        <v>0.73299999999999998</v>
      </c>
      <c r="R154" s="24">
        <v>4.1799999999999997E-2</v>
      </c>
      <c r="S154" s="24">
        <v>0</v>
      </c>
      <c r="T154" s="24">
        <v>3.8E-3</v>
      </c>
      <c r="U154" s="24">
        <v>2.9710000000000001</v>
      </c>
      <c r="V154" s="24">
        <v>0</v>
      </c>
      <c r="W154" s="24">
        <v>1.7</v>
      </c>
      <c r="X154" s="24">
        <v>0.53200000000000003</v>
      </c>
      <c r="Y154" s="24">
        <v>8.0098000000000003</v>
      </c>
      <c r="Z154" s="25">
        <f t="shared" si="7"/>
        <v>0.56538512704536381</v>
      </c>
      <c r="AA154" s="25">
        <f t="shared" si="8"/>
        <v>0.17693228681654916</v>
      </c>
      <c r="AB154" s="25">
        <f t="shared" si="9"/>
        <v>0.24378076360250098</v>
      </c>
      <c r="AC154" s="25">
        <f t="shared" si="10"/>
        <v>1.3901822535586004E-2</v>
      </c>
      <c r="AD154" s="25">
        <f t="shared" si="11"/>
        <v>0.76164874551971318</v>
      </c>
    </row>
    <row r="155" spans="1:30" x14ac:dyDescent="0.2">
      <c r="D155" s="25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Z155" s="25"/>
      <c r="AA155" s="25"/>
      <c r="AB155" s="25"/>
      <c r="AC155" s="25"/>
      <c r="AD155" s="25"/>
    </row>
    <row r="156" spans="1:30" x14ac:dyDescent="0.2">
      <c r="A156" s="24" t="s">
        <v>266</v>
      </c>
      <c r="B156" s="12">
        <v>0</v>
      </c>
      <c r="C156" s="12">
        <v>-111.77633266100526</v>
      </c>
      <c r="D156" s="25">
        <v>6.7000000000000002E-3</v>
      </c>
      <c r="E156" s="25">
        <v>22.17</v>
      </c>
      <c r="F156" s="25">
        <v>9.7200000000000006</v>
      </c>
      <c r="G156" s="25">
        <v>0.63790000000000002</v>
      </c>
      <c r="H156" s="25">
        <v>8.7099999999999997E-2</v>
      </c>
      <c r="I156" s="25">
        <v>0.14319999999999999</v>
      </c>
      <c r="J156" s="25">
        <v>38.409999999999997</v>
      </c>
      <c r="K156" s="25">
        <v>0</v>
      </c>
      <c r="L156" s="25">
        <v>26.12</v>
      </c>
      <c r="M156" s="25">
        <v>4.26</v>
      </c>
      <c r="N156" s="25">
        <v>101.5549</v>
      </c>
      <c r="O156" s="24">
        <v>4.0000000000000002E-4</v>
      </c>
      <c r="P156" s="24">
        <v>2.0169999999999999</v>
      </c>
      <c r="Q156" s="24">
        <v>0.80400000000000005</v>
      </c>
      <c r="R156" s="24">
        <v>4.1700000000000001E-2</v>
      </c>
      <c r="S156" s="24">
        <v>1.2999999999999999E-2</v>
      </c>
      <c r="T156" s="24">
        <v>8.3000000000000001E-3</v>
      </c>
      <c r="U156" s="24">
        <v>2.9649999999999999</v>
      </c>
      <c r="V156" s="24">
        <v>0</v>
      </c>
      <c r="W156" s="24">
        <v>1.6859999999999999</v>
      </c>
      <c r="X156" s="24">
        <v>0.49</v>
      </c>
      <c r="Y156" s="24">
        <v>8.0253999999999994</v>
      </c>
      <c r="Z156" s="25">
        <f t="shared" si="7"/>
        <v>0.5579640599662441</v>
      </c>
      <c r="AA156" s="25">
        <f t="shared" si="8"/>
        <v>0.16216037329979813</v>
      </c>
      <c r="AB156" s="25">
        <f t="shared" si="9"/>
        <v>0.26607538802660757</v>
      </c>
      <c r="AC156" s="25">
        <f t="shared" si="10"/>
        <v>1.3800178707350168E-2</v>
      </c>
      <c r="AD156" s="25">
        <f t="shared" si="11"/>
        <v>0.7748161764705882</v>
      </c>
    </row>
    <row r="157" spans="1:30" x14ac:dyDescent="0.2">
      <c r="A157" s="24" t="s">
        <v>267</v>
      </c>
      <c r="B157" s="12">
        <v>27.586228448263423</v>
      </c>
      <c r="C157" s="12">
        <v>-84.190104212741829</v>
      </c>
      <c r="D157" s="25">
        <v>3.5499999999999997E-2</v>
      </c>
      <c r="E157" s="25">
        <v>22.18</v>
      </c>
      <c r="F157" s="25">
        <v>9.4600000000000009</v>
      </c>
      <c r="G157" s="25">
        <v>0.69879999999999998</v>
      </c>
      <c r="H157" s="25">
        <v>2.3999999999999998E-3</v>
      </c>
      <c r="I157" s="25">
        <v>0.13009999999999999</v>
      </c>
      <c r="J157" s="25">
        <v>38.42</v>
      </c>
      <c r="K157" s="25">
        <v>0</v>
      </c>
      <c r="L157" s="25">
        <v>26.1</v>
      </c>
      <c r="M157" s="25">
        <v>4.49</v>
      </c>
      <c r="N157" s="25">
        <v>101.5167</v>
      </c>
      <c r="O157" s="24">
        <v>2.2000000000000001E-3</v>
      </c>
      <c r="P157" s="24">
        <v>2.0169999999999999</v>
      </c>
      <c r="Q157" s="24">
        <v>0.78200000000000003</v>
      </c>
      <c r="R157" s="24">
        <v>4.5699999999999998E-2</v>
      </c>
      <c r="S157" s="24">
        <v>4.0000000000000002E-4</v>
      </c>
      <c r="T157" s="24">
        <v>7.4999999999999997E-3</v>
      </c>
      <c r="U157" s="24">
        <v>2.964</v>
      </c>
      <c r="V157" s="24">
        <v>0</v>
      </c>
      <c r="W157" s="24">
        <v>1.6839999999999999</v>
      </c>
      <c r="X157" s="24">
        <v>0.51600000000000001</v>
      </c>
      <c r="Y157" s="24">
        <v>8.0188000000000006</v>
      </c>
      <c r="Z157" s="25">
        <f t="shared" si="7"/>
        <v>0.55619777388776948</v>
      </c>
      <c r="AA157" s="25">
        <f t="shared" si="8"/>
        <v>0.17042639627439971</v>
      </c>
      <c r="AB157" s="25">
        <f t="shared" si="9"/>
        <v>0.25828186412128018</v>
      </c>
      <c r="AC157" s="25">
        <f t="shared" si="10"/>
        <v>1.5093965716550518E-2</v>
      </c>
      <c r="AD157" s="25">
        <f t="shared" si="11"/>
        <v>0.76545454545454539</v>
      </c>
    </row>
    <row r="158" spans="1:30" x14ac:dyDescent="0.2">
      <c r="A158" s="24" t="s">
        <v>268</v>
      </c>
      <c r="B158" s="12">
        <v>55.905832965275501</v>
      </c>
      <c r="C158" s="12">
        <v>-55.870499695729748</v>
      </c>
      <c r="D158" s="25">
        <v>5.0999999999999997E-2</v>
      </c>
      <c r="E158" s="25">
        <v>22.05</v>
      </c>
      <c r="F158" s="25">
        <v>9.26</v>
      </c>
      <c r="G158" s="25">
        <v>0.43709999999999999</v>
      </c>
      <c r="H158" s="25">
        <v>6.5500000000000003E-2</v>
      </c>
      <c r="I158" s="25">
        <v>0.1542</v>
      </c>
      <c r="J158" s="25">
        <v>38.4</v>
      </c>
      <c r="K158" s="25">
        <v>0</v>
      </c>
      <c r="L158" s="25">
        <v>26.85</v>
      </c>
      <c r="M158" s="25">
        <v>4.3899999999999997</v>
      </c>
      <c r="N158" s="25">
        <v>101.65770000000001</v>
      </c>
      <c r="O158" s="24">
        <v>3.0999999999999999E-3</v>
      </c>
      <c r="P158" s="24">
        <v>2.0070000000000001</v>
      </c>
      <c r="Q158" s="24">
        <v>0.76600000000000001</v>
      </c>
      <c r="R158" s="24">
        <v>2.86E-2</v>
      </c>
      <c r="S158" s="24">
        <v>9.7999999999999997E-3</v>
      </c>
      <c r="T158" s="24">
        <v>8.9999999999999993E-3</v>
      </c>
      <c r="U158" s="24">
        <v>2.9649999999999999</v>
      </c>
      <c r="V158" s="24">
        <v>0</v>
      </c>
      <c r="W158" s="24">
        <v>1.7330000000000001</v>
      </c>
      <c r="X158" s="24">
        <v>0.505</v>
      </c>
      <c r="Y158" s="24">
        <v>8.0265000000000004</v>
      </c>
      <c r="Z158" s="25">
        <f t="shared" si="7"/>
        <v>0.57145683571852535</v>
      </c>
      <c r="AA158" s="25">
        <f t="shared" si="8"/>
        <v>0.16652377497856624</v>
      </c>
      <c r="AB158" s="25">
        <f t="shared" si="9"/>
        <v>0.25258853788828067</v>
      </c>
      <c r="AC158" s="25">
        <f t="shared" si="10"/>
        <v>9.4308514146277129E-3</v>
      </c>
      <c r="AD158" s="25">
        <f t="shared" si="11"/>
        <v>0.7743521000893655</v>
      </c>
    </row>
    <row r="159" spans="1:30" x14ac:dyDescent="0.2">
      <c r="A159" s="24" t="s">
        <v>269</v>
      </c>
      <c r="B159" s="12">
        <v>84.190104212741829</v>
      </c>
      <c r="C159" s="12">
        <v>-27.586228448263423</v>
      </c>
      <c r="D159" s="25">
        <v>2.2100000000000002E-2</v>
      </c>
      <c r="E159" s="25">
        <v>22.42</v>
      </c>
      <c r="F159" s="25">
        <v>8.1300000000000008</v>
      </c>
      <c r="G159" s="25">
        <v>0.41110000000000002</v>
      </c>
      <c r="H159" s="25">
        <v>6.7900000000000002E-2</v>
      </c>
      <c r="I159" s="25">
        <v>7.7299999999999994E-2</v>
      </c>
      <c r="J159" s="25">
        <v>38.47</v>
      </c>
      <c r="K159" s="25">
        <v>0</v>
      </c>
      <c r="L159" s="25">
        <v>27.12</v>
      </c>
      <c r="M159" s="25">
        <v>4.8499999999999996</v>
      </c>
      <c r="N159" s="25">
        <v>101.5684</v>
      </c>
      <c r="O159" s="24">
        <v>1.2999999999999999E-3</v>
      </c>
      <c r="P159" s="24">
        <v>2.036</v>
      </c>
      <c r="Q159" s="24">
        <v>0.67100000000000004</v>
      </c>
      <c r="R159" s="24">
        <v>2.6800000000000001E-2</v>
      </c>
      <c r="S159" s="24">
        <v>1.01E-2</v>
      </c>
      <c r="T159" s="24">
        <v>4.4999999999999997E-3</v>
      </c>
      <c r="U159" s="24">
        <v>2.964</v>
      </c>
      <c r="V159" s="24">
        <v>0</v>
      </c>
      <c r="W159" s="24">
        <v>1.748</v>
      </c>
      <c r="X159" s="24">
        <v>0.55600000000000005</v>
      </c>
      <c r="Y159" s="24">
        <v>8.0176999999999996</v>
      </c>
      <c r="Z159" s="25">
        <f t="shared" si="7"/>
        <v>0.58231727630088603</v>
      </c>
      <c r="AA159" s="25">
        <f t="shared" si="8"/>
        <v>0.18522220001332534</v>
      </c>
      <c r="AB159" s="25">
        <f t="shared" si="9"/>
        <v>0.22353254713838364</v>
      </c>
      <c r="AC159" s="25">
        <f t="shared" si="10"/>
        <v>8.9279765474048894E-3</v>
      </c>
      <c r="AD159" s="25">
        <f t="shared" si="11"/>
        <v>0.75868055555555547</v>
      </c>
    </row>
    <row r="160" spans="1:30" x14ac:dyDescent="0.2">
      <c r="A160" s="24" t="s">
        <v>270</v>
      </c>
      <c r="B160" s="12">
        <v>111.77633266100526</v>
      </c>
      <c r="C160" s="12">
        <v>0</v>
      </c>
      <c r="D160" s="25">
        <v>4.3799999999999999E-2</v>
      </c>
      <c r="E160" s="25">
        <v>22.52</v>
      </c>
      <c r="F160" s="25">
        <v>7.99</v>
      </c>
      <c r="G160" s="25">
        <v>0.5776</v>
      </c>
      <c r="H160" s="25">
        <v>6.5100000000000005E-2</v>
      </c>
      <c r="I160" s="25">
        <v>7.17E-2</v>
      </c>
      <c r="J160" s="25">
        <v>38.5</v>
      </c>
      <c r="K160" s="25">
        <v>0</v>
      </c>
      <c r="L160" s="25">
        <v>26.35</v>
      </c>
      <c r="M160" s="25">
        <v>5.25</v>
      </c>
      <c r="N160" s="25">
        <v>101.3681</v>
      </c>
      <c r="O160" s="24">
        <v>2.7000000000000001E-3</v>
      </c>
      <c r="P160" s="24">
        <v>2.0430000000000001</v>
      </c>
      <c r="Q160" s="24">
        <v>0.65900000000000003</v>
      </c>
      <c r="R160" s="24">
        <v>3.7600000000000001E-2</v>
      </c>
      <c r="S160" s="24">
        <v>9.7000000000000003E-3</v>
      </c>
      <c r="T160" s="24">
        <v>4.1999999999999997E-3</v>
      </c>
      <c r="U160" s="24">
        <v>2.9620000000000002</v>
      </c>
      <c r="V160" s="24">
        <v>0</v>
      </c>
      <c r="W160" s="24">
        <v>1.696</v>
      </c>
      <c r="X160" s="24">
        <v>0.60199999999999998</v>
      </c>
      <c r="Y160" s="24">
        <v>8.0161999999999995</v>
      </c>
      <c r="Z160" s="25">
        <f t="shared" si="7"/>
        <v>0.56635276831630266</v>
      </c>
      <c r="AA160" s="25">
        <f t="shared" si="8"/>
        <v>0.20102851799906496</v>
      </c>
      <c r="AB160" s="25">
        <f t="shared" si="9"/>
        <v>0.22006277967007282</v>
      </c>
      <c r="AC160" s="25">
        <f t="shared" si="10"/>
        <v>1.2555934014559542E-2</v>
      </c>
      <c r="AD160" s="25">
        <f t="shared" si="11"/>
        <v>0.73803307223672754</v>
      </c>
    </row>
    <row r="161" spans="1:30" x14ac:dyDescent="0.2">
      <c r="D161" s="25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Z161" s="25"/>
      <c r="AA161" s="25"/>
      <c r="AB161" s="25"/>
      <c r="AC161" s="25"/>
      <c r="AD161" s="25"/>
    </row>
    <row r="162" spans="1:30" x14ac:dyDescent="0.2">
      <c r="A162" s="24" t="s">
        <v>271</v>
      </c>
      <c r="B162" s="12">
        <v>0</v>
      </c>
      <c r="C162" s="12">
        <v>-159.87920781736179</v>
      </c>
      <c r="D162" s="25">
        <v>9.7900000000000001E-2</v>
      </c>
      <c r="E162" s="25">
        <v>22.08</v>
      </c>
      <c r="F162" s="25">
        <v>9.7799999999999994</v>
      </c>
      <c r="G162" s="25">
        <v>0.76690000000000003</v>
      </c>
      <c r="H162" s="25">
        <v>4.5999999999999999E-2</v>
      </c>
      <c r="I162" s="25">
        <v>8.9499999999999996E-2</v>
      </c>
      <c r="J162" s="25">
        <v>38.39</v>
      </c>
      <c r="K162" s="25">
        <v>0</v>
      </c>
      <c r="L162" s="25">
        <v>26.06</v>
      </c>
      <c r="M162" s="25">
        <v>4.13</v>
      </c>
      <c r="N162" s="25">
        <v>101.4402</v>
      </c>
      <c r="O162" s="24">
        <v>6.0000000000000001E-3</v>
      </c>
      <c r="P162" s="24">
        <v>2.0129999999999999</v>
      </c>
      <c r="Q162" s="24">
        <v>0.81</v>
      </c>
      <c r="R162" s="24">
        <v>5.0200000000000002E-2</v>
      </c>
      <c r="S162" s="24">
        <v>6.8999999999999999E-3</v>
      </c>
      <c r="T162" s="24">
        <v>5.1999999999999998E-3</v>
      </c>
      <c r="U162" s="24">
        <v>2.968</v>
      </c>
      <c r="V162" s="24">
        <v>0</v>
      </c>
      <c r="W162" s="24">
        <v>1.6850000000000001</v>
      </c>
      <c r="X162" s="24">
        <v>0.47599999999999998</v>
      </c>
      <c r="Y162" s="24">
        <v>8.0203000000000007</v>
      </c>
      <c r="Z162" s="25">
        <f t="shared" si="7"/>
        <v>0.55772540712299756</v>
      </c>
      <c r="AA162" s="25">
        <f t="shared" si="8"/>
        <v>0.15755329008341057</v>
      </c>
      <c r="AB162" s="25">
        <f t="shared" si="9"/>
        <v>0.26810538858731631</v>
      </c>
      <c r="AC162" s="25">
        <f t="shared" si="10"/>
        <v>1.6615914206275652E-2</v>
      </c>
      <c r="AD162" s="25">
        <f t="shared" si="11"/>
        <v>0.7797316057380842</v>
      </c>
    </row>
    <row r="163" spans="1:30" x14ac:dyDescent="0.2">
      <c r="A163" s="24" t="s">
        <v>272</v>
      </c>
      <c r="B163" s="12">
        <v>47.675989764245408</v>
      </c>
      <c r="C163" s="12">
        <v>-112.20321805311639</v>
      </c>
      <c r="D163" s="25">
        <v>0.16420000000000001</v>
      </c>
      <c r="E163" s="25">
        <v>22.1</v>
      </c>
      <c r="F163" s="25">
        <v>9.75</v>
      </c>
      <c r="G163" s="25">
        <v>0.62829999999999997</v>
      </c>
      <c r="H163" s="25">
        <v>6.0299999999999999E-2</v>
      </c>
      <c r="I163" s="25">
        <v>0.12239999999999999</v>
      </c>
      <c r="J163" s="25">
        <v>38.5</v>
      </c>
      <c r="K163" s="25">
        <v>0</v>
      </c>
      <c r="L163" s="25">
        <v>25.85</v>
      </c>
      <c r="M163" s="25">
        <v>4.4800000000000004</v>
      </c>
      <c r="N163" s="25">
        <v>101.6551</v>
      </c>
      <c r="O163" s="24">
        <v>0.01</v>
      </c>
      <c r="P163" s="24">
        <v>2.0070000000000001</v>
      </c>
      <c r="Q163" s="24">
        <v>0.80400000000000005</v>
      </c>
      <c r="R163" s="24">
        <v>4.1000000000000002E-2</v>
      </c>
      <c r="S163" s="24">
        <v>8.9999999999999993E-3</v>
      </c>
      <c r="T163" s="24">
        <v>7.1000000000000004E-3</v>
      </c>
      <c r="U163" s="24">
        <v>2.9660000000000002</v>
      </c>
      <c r="V163" s="24">
        <v>0</v>
      </c>
      <c r="W163" s="24">
        <v>1.665</v>
      </c>
      <c r="X163" s="24">
        <v>0.51400000000000001</v>
      </c>
      <c r="Y163" s="24">
        <v>8.0230999999999995</v>
      </c>
      <c r="Z163" s="25">
        <f t="shared" si="7"/>
        <v>0.55059523809523814</v>
      </c>
      <c r="AA163" s="25">
        <f t="shared" si="8"/>
        <v>0.16997354497354497</v>
      </c>
      <c r="AB163" s="25">
        <f t="shared" si="9"/>
        <v>0.26587301587301587</v>
      </c>
      <c r="AC163" s="25">
        <f t="shared" si="10"/>
        <v>1.3558201058201059E-2</v>
      </c>
      <c r="AD163" s="25">
        <f t="shared" si="11"/>
        <v>0.76411197797154651</v>
      </c>
    </row>
    <row r="164" spans="1:30" x14ac:dyDescent="0.2">
      <c r="A164" s="24" t="s">
        <v>273</v>
      </c>
      <c r="B164" s="12">
        <v>86.276507895480819</v>
      </c>
      <c r="C164" s="12">
        <v>-73.602699921880983</v>
      </c>
      <c r="D164" s="25">
        <v>9.4100000000000003E-2</v>
      </c>
      <c r="E164" s="25">
        <v>22.1</v>
      </c>
      <c r="F164" s="25">
        <v>8.86</v>
      </c>
      <c r="G164" s="25">
        <v>0.66149999999999998</v>
      </c>
      <c r="H164" s="25">
        <v>1.46E-2</v>
      </c>
      <c r="I164" s="25">
        <v>0.15570000000000001</v>
      </c>
      <c r="J164" s="25">
        <v>38.25</v>
      </c>
      <c r="K164" s="25">
        <v>0</v>
      </c>
      <c r="L164" s="25">
        <v>26.91</v>
      </c>
      <c r="M164" s="25">
        <v>4.3499999999999996</v>
      </c>
      <c r="N164" s="25">
        <v>101.39579999999999</v>
      </c>
      <c r="O164" s="24">
        <v>5.7999999999999996E-3</v>
      </c>
      <c r="P164" s="24">
        <v>2.0169999999999999</v>
      </c>
      <c r="Q164" s="24">
        <v>0.73499999999999999</v>
      </c>
      <c r="R164" s="24">
        <v>4.3400000000000001E-2</v>
      </c>
      <c r="S164" s="24">
        <v>2.2000000000000001E-3</v>
      </c>
      <c r="T164" s="24">
        <v>9.1000000000000004E-3</v>
      </c>
      <c r="U164" s="24">
        <v>2.9620000000000002</v>
      </c>
      <c r="V164" s="24">
        <v>0</v>
      </c>
      <c r="W164" s="24">
        <v>1.7430000000000001</v>
      </c>
      <c r="X164" s="24">
        <v>0.502</v>
      </c>
      <c r="Y164" s="24">
        <v>8.0195000000000007</v>
      </c>
      <c r="Z164" s="25">
        <f t="shared" si="7"/>
        <v>0.57650327445921812</v>
      </c>
      <c r="AA164" s="25">
        <f t="shared" si="8"/>
        <v>0.16603823509955679</v>
      </c>
      <c r="AB164" s="25">
        <f t="shared" si="9"/>
        <v>0.24310379043461006</v>
      </c>
      <c r="AC164" s="25">
        <f t="shared" si="10"/>
        <v>1.4354700006615071E-2</v>
      </c>
      <c r="AD164" s="25">
        <f t="shared" si="11"/>
        <v>0.77639198218262806</v>
      </c>
    </row>
    <row r="165" spans="1:30" x14ac:dyDescent="0.2">
      <c r="A165" s="24" t="s">
        <v>274</v>
      </c>
      <c r="B165" s="12">
        <v>123.47865837095738</v>
      </c>
      <c r="C165" s="12">
        <v>-36.400549446404426</v>
      </c>
      <c r="D165" s="25">
        <v>2.76E-2</v>
      </c>
      <c r="E165" s="25">
        <v>22.4</v>
      </c>
      <c r="F165" s="25">
        <v>7.98</v>
      </c>
      <c r="G165" s="25">
        <v>0.57110000000000005</v>
      </c>
      <c r="H165" s="25">
        <v>1.46E-2</v>
      </c>
      <c r="I165" s="25">
        <v>0.1087</v>
      </c>
      <c r="J165" s="25">
        <v>38.39</v>
      </c>
      <c r="K165" s="25">
        <v>0</v>
      </c>
      <c r="L165" s="25">
        <v>27.23</v>
      </c>
      <c r="M165" s="25">
        <v>4.8</v>
      </c>
      <c r="N165" s="25">
        <v>101.5219</v>
      </c>
      <c r="O165" s="24">
        <v>1.6999999999999999E-3</v>
      </c>
      <c r="P165" s="24">
        <v>2.0369999999999999</v>
      </c>
      <c r="Q165" s="24">
        <v>0.66</v>
      </c>
      <c r="R165" s="24">
        <v>3.73E-2</v>
      </c>
      <c r="S165" s="24">
        <v>2.2000000000000001E-3</v>
      </c>
      <c r="T165" s="24">
        <v>6.3E-3</v>
      </c>
      <c r="U165" s="24">
        <v>2.9620000000000002</v>
      </c>
      <c r="V165" s="24">
        <v>0</v>
      </c>
      <c r="W165" s="24">
        <v>1.7569999999999999</v>
      </c>
      <c r="X165" s="24">
        <v>0.55200000000000005</v>
      </c>
      <c r="Y165" s="24">
        <v>8.0154999999999994</v>
      </c>
      <c r="Z165" s="25">
        <f t="shared" si="7"/>
        <v>0.58443934404417375</v>
      </c>
      <c r="AA165" s="25">
        <f t="shared" si="8"/>
        <v>0.18361440973954693</v>
      </c>
      <c r="AB165" s="25">
        <f t="shared" si="9"/>
        <v>0.21953896816684962</v>
      </c>
      <c r="AC165" s="25">
        <f t="shared" si="10"/>
        <v>1.2407278049429531E-2</v>
      </c>
      <c r="AD165" s="25">
        <f t="shared" si="11"/>
        <v>0.76093546990038963</v>
      </c>
    </row>
    <row r="166" spans="1:30" x14ac:dyDescent="0.2">
      <c r="A166" s="24" t="s">
        <v>275</v>
      </c>
      <c r="B166" s="12">
        <v>159.87920781736182</v>
      </c>
      <c r="C166" s="12">
        <v>0</v>
      </c>
      <c r="D166" s="25">
        <v>2.2800000000000001E-2</v>
      </c>
      <c r="E166" s="25">
        <v>22.47</v>
      </c>
      <c r="F166" s="25">
        <v>8.11</v>
      </c>
      <c r="G166" s="25">
        <v>0.62239999999999995</v>
      </c>
      <c r="H166" s="25">
        <v>3.5900000000000001E-2</v>
      </c>
      <c r="I166" s="25">
        <v>6.6699999999999995E-2</v>
      </c>
      <c r="J166" s="25">
        <v>38.75</v>
      </c>
      <c r="K166" s="25">
        <v>0</v>
      </c>
      <c r="L166" s="25">
        <v>25.83</v>
      </c>
      <c r="M166" s="25">
        <v>5.59</v>
      </c>
      <c r="N166" s="25">
        <v>101.49769999999999</v>
      </c>
      <c r="O166" s="24">
        <v>1.4E-3</v>
      </c>
      <c r="P166" s="24">
        <v>2.0299999999999998</v>
      </c>
      <c r="Q166" s="24">
        <v>0.66600000000000004</v>
      </c>
      <c r="R166" s="24">
        <v>4.0399999999999998E-2</v>
      </c>
      <c r="S166" s="24">
        <v>5.3E-3</v>
      </c>
      <c r="T166" s="24">
        <v>3.8E-3</v>
      </c>
      <c r="U166" s="24">
        <v>2.9710000000000001</v>
      </c>
      <c r="V166" s="24">
        <v>0</v>
      </c>
      <c r="W166" s="24">
        <v>1.6559999999999999</v>
      </c>
      <c r="X166" s="24">
        <v>0.63900000000000001</v>
      </c>
      <c r="Y166" s="24">
        <v>8.0129000000000001</v>
      </c>
      <c r="Z166" s="25">
        <f t="shared" si="7"/>
        <v>0.55174252015726</v>
      </c>
      <c r="AA166" s="25">
        <f t="shared" si="8"/>
        <v>0.21290064636502967</v>
      </c>
      <c r="AB166" s="25">
        <f t="shared" si="9"/>
        <v>0.2218964483241154</v>
      </c>
      <c r="AC166" s="25">
        <f t="shared" si="10"/>
        <v>1.3460385153594987E-2</v>
      </c>
      <c r="AD166" s="25">
        <f t="shared" si="11"/>
        <v>0.72156862745098038</v>
      </c>
    </row>
    <row r="167" spans="1:30" x14ac:dyDescent="0.2">
      <c r="D167" s="25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Z167" s="25"/>
      <c r="AA167" s="25"/>
      <c r="AB167" s="25"/>
      <c r="AC167" s="25"/>
      <c r="AD167" s="25"/>
    </row>
    <row r="168" spans="1:30" x14ac:dyDescent="0.2">
      <c r="A168" s="24" t="s">
        <v>276</v>
      </c>
      <c r="D168" s="25">
        <f>AVERAGE(D150:D154,D156:D160,D162:D166)</f>
        <v>4.8280000000000003E-2</v>
      </c>
      <c r="E168" s="25">
        <f t="shared" ref="E168:AD168" si="20">AVERAGE(E150:E154,E156:E160,E162:E166)</f>
        <v>22.254666666666669</v>
      </c>
      <c r="F168" s="25">
        <f t="shared" si="20"/>
        <v>8.852666666666666</v>
      </c>
      <c r="G168" s="25">
        <f t="shared" si="20"/>
        <v>0.6296533333333334</v>
      </c>
      <c r="H168" s="25">
        <f t="shared" si="20"/>
        <v>3.9806666666666664E-2</v>
      </c>
      <c r="I168" s="25">
        <f t="shared" si="20"/>
        <v>0.11218666666666667</v>
      </c>
      <c r="J168" s="25">
        <f t="shared" si="20"/>
        <v>38.457333333333324</v>
      </c>
      <c r="K168" s="25">
        <f t="shared" si="20"/>
        <v>6.0000000000000002E-5</v>
      </c>
      <c r="L168" s="25">
        <f t="shared" si="20"/>
        <v>26.464666666666673</v>
      </c>
      <c r="M168" s="25">
        <f t="shared" si="20"/>
        <v>4.679333333333334</v>
      </c>
      <c r="N168" s="25">
        <f t="shared" si="20"/>
        <v>101.53856666666665</v>
      </c>
      <c r="O168" s="25">
        <f t="shared" si="20"/>
        <v>2.9466666666666669E-3</v>
      </c>
      <c r="P168" s="25">
        <f t="shared" si="20"/>
        <v>2.0223999999999998</v>
      </c>
      <c r="Q168" s="25">
        <f t="shared" si="20"/>
        <v>0.73126666666666673</v>
      </c>
      <c r="R168" s="25">
        <f t="shared" si="20"/>
        <v>4.1120000000000004E-2</v>
      </c>
      <c r="S168" s="25">
        <f t="shared" si="20"/>
        <v>5.9466666666666652E-3</v>
      </c>
      <c r="T168" s="25">
        <f t="shared" si="20"/>
        <v>6.5133333333333319E-3</v>
      </c>
      <c r="U168" s="25">
        <f t="shared" si="20"/>
        <v>2.9649333333333336</v>
      </c>
      <c r="V168" s="25">
        <f t="shared" si="20"/>
        <v>6.6666666666666666E-6</v>
      </c>
      <c r="W168" s="25">
        <f t="shared" si="20"/>
        <v>1.7064666666666666</v>
      </c>
      <c r="X168" s="25">
        <f t="shared" si="20"/>
        <v>0.53753333333333342</v>
      </c>
      <c r="Y168" s="25">
        <f t="shared" si="20"/>
        <v>8.0191400000000002</v>
      </c>
      <c r="Z168" s="25">
        <f t="shared" si="20"/>
        <v>0.56574935592539977</v>
      </c>
      <c r="AA168" s="25">
        <f t="shared" si="20"/>
        <v>0.17825300542991013</v>
      </c>
      <c r="AB168" s="25">
        <f t="shared" si="20"/>
        <v>0.24236892675682134</v>
      </c>
      <c r="AC168" s="25">
        <f t="shared" si="20"/>
        <v>1.3628711887868719E-2</v>
      </c>
      <c r="AD168" s="25">
        <f t="shared" si="20"/>
        <v>0.76074903484176759</v>
      </c>
    </row>
    <row r="171" spans="1:30" x14ac:dyDescent="0.2">
      <c r="Z171" s="25"/>
      <c r="AA171" s="25"/>
      <c r="AB171" s="25"/>
      <c r="AC171" s="25"/>
      <c r="AD171" s="25"/>
    </row>
    <row r="172" spans="1:30" x14ac:dyDescent="0.2">
      <c r="Z172" s="25"/>
      <c r="AA172" s="25"/>
      <c r="AB172" s="25"/>
      <c r="AC172" s="25"/>
      <c r="AD172" s="25"/>
    </row>
  </sheetData>
  <mergeCells count="2">
    <mergeCell ref="D3:N3"/>
    <mergeCell ref="O3:Y3"/>
  </mergeCells>
  <phoneticPr fontId="16" type="noConversion"/>
  <pageMargins left="0.75" right="0.75" top="1" bottom="1" header="0.5" footer="0.5"/>
  <pageSetup scale="24" orientation="portrait" horizontalDpi="4294967292" verticalDpi="4294967292"/>
  <colBreaks count="1" manualBreakCount="1">
    <brk id="31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D105"/>
  <sheetViews>
    <sheetView workbookViewId="0">
      <pane ySplit="4" topLeftCell="A5" activePane="bottomLeft" state="frozen"/>
      <selection pane="bottomLeft" sqref="A1:A2"/>
    </sheetView>
  </sheetViews>
  <sheetFormatPr baseColWidth="10" defaultRowHeight="16" x14ac:dyDescent="0.2"/>
  <cols>
    <col min="1" max="1" width="29.1640625" style="119" customWidth="1"/>
    <col min="2" max="3" width="16.33203125" style="119" customWidth="1"/>
    <col min="4" max="26" width="10.83203125" style="119"/>
    <col min="27" max="30" width="10.83203125" style="121"/>
    <col min="31" max="16384" width="10.83203125" style="119"/>
  </cols>
  <sheetData>
    <row r="1" spans="1:30" x14ac:dyDescent="0.2">
      <c r="A1" s="116" t="s">
        <v>697</v>
      </c>
    </row>
    <row r="2" spans="1:30" x14ac:dyDescent="0.2">
      <c r="A2" s="117" t="s">
        <v>698</v>
      </c>
    </row>
    <row r="3" spans="1:30" x14ac:dyDescent="0.2">
      <c r="A3" s="133" t="s">
        <v>620</v>
      </c>
      <c r="B3" s="133"/>
      <c r="C3" s="133"/>
      <c r="D3" s="120" t="s">
        <v>277</v>
      </c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 t="s">
        <v>102</v>
      </c>
      <c r="P3" s="120"/>
      <c r="Q3" s="120"/>
      <c r="R3" s="120"/>
      <c r="S3" s="120"/>
      <c r="T3" s="120"/>
      <c r="U3" s="120"/>
      <c r="V3" s="120"/>
      <c r="W3" s="120"/>
      <c r="X3" s="120"/>
      <c r="Y3" s="120"/>
      <c r="Z3" s="120"/>
    </row>
    <row r="4" spans="1:30" ht="51" x14ac:dyDescent="0.2">
      <c r="B4" s="119" t="s">
        <v>103</v>
      </c>
      <c r="C4" s="35" t="s">
        <v>104</v>
      </c>
      <c r="D4" s="122" t="s">
        <v>110</v>
      </c>
      <c r="E4" s="122" t="s">
        <v>111</v>
      </c>
      <c r="F4" s="122" t="s">
        <v>112</v>
      </c>
      <c r="G4" s="122" t="s">
        <v>108</v>
      </c>
      <c r="H4" s="122" t="s">
        <v>109</v>
      </c>
      <c r="I4" s="122" t="s">
        <v>105</v>
      </c>
      <c r="J4" s="122" t="s">
        <v>106</v>
      </c>
      <c r="K4" s="122" t="s">
        <v>107</v>
      </c>
      <c r="L4" s="122" t="s">
        <v>113</v>
      </c>
      <c r="M4" s="122" t="s">
        <v>114</v>
      </c>
      <c r="N4" s="122" t="s">
        <v>115</v>
      </c>
      <c r="O4" s="122" t="s">
        <v>121</v>
      </c>
      <c r="P4" s="122" t="s">
        <v>122</v>
      </c>
      <c r="Q4" s="122" t="s">
        <v>123</v>
      </c>
      <c r="R4" s="122" t="s">
        <v>119</v>
      </c>
      <c r="S4" s="122" t="s">
        <v>120</v>
      </c>
      <c r="T4" s="122" t="s">
        <v>116</v>
      </c>
      <c r="U4" s="122" t="s">
        <v>117</v>
      </c>
      <c r="V4" s="122" t="s">
        <v>118</v>
      </c>
      <c r="W4" s="122" t="s">
        <v>124</v>
      </c>
      <c r="X4" s="122" t="s">
        <v>278</v>
      </c>
      <c r="Y4" s="122" t="s">
        <v>125</v>
      </c>
      <c r="Z4" s="122" t="s">
        <v>115</v>
      </c>
      <c r="AA4" s="123" t="s">
        <v>279</v>
      </c>
      <c r="AB4" s="123" t="s">
        <v>280</v>
      </c>
      <c r="AC4" s="123" t="s">
        <v>281</v>
      </c>
      <c r="AD4" s="124" t="s">
        <v>282</v>
      </c>
    </row>
    <row r="5" spans="1:30" ht="17" x14ac:dyDescent="0.2">
      <c r="A5" s="122" t="s">
        <v>283</v>
      </c>
      <c r="B5" s="125">
        <v>0</v>
      </c>
      <c r="C5" s="125">
        <v>-313.58055367885265</v>
      </c>
      <c r="D5" s="126">
        <v>0.16789999999999999</v>
      </c>
      <c r="E5" s="126">
        <v>54.41</v>
      </c>
      <c r="F5" s="126">
        <v>1.43E-2</v>
      </c>
      <c r="G5" s="126">
        <v>5.04E-2</v>
      </c>
      <c r="H5" s="126">
        <v>6.17</v>
      </c>
      <c r="I5" s="126">
        <v>0.05</v>
      </c>
      <c r="J5" s="126">
        <v>10.07</v>
      </c>
      <c r="K5" s="126">
        <v>13.56</v>
      </c>
      <c r="L5" s="126">
        <v>6.7</v>
      </c>
      <c r="M5" s="126">
        <v>8.14</v>
      </c>
      <c r="N5" s="126">
        <v>99.332599999999999</v>
      </c>
      <c r="O5" s="122">
        <v>4.5999999999999999E-3</v>
      </c>
      <c r="P5" s="122">
        <v>1.976</v>
      </c>
      <c r="Q5" s="122">
        <v>6.9999999999999999E-4</v>
      </c>
      <c r="R5" s="122">
        <v>1.6000000000000001E-3</v>
      </c>
      <c r="S5" s="122">
        <v>0.434</v>
      </c>
      <c r="T5" s="122">
        <v>1.4E-3</v>
      </c>
      <c r="U5" s="122">
        <v>0.43099999999999999</v>
      </c>
      <c r="V5" s="122">
        <v>0.52700000000000002</v>
      </c>
      <c r="W5" s="122">
        <v>0.20300000000000001</v>
      </c>
      <c r="X5" s="122"/>
      <c r="Y5" s="122">
        <v>0.441</v>
      </c>
      <c r="Z5" s="122">
        <v>4.0202999999999998</v>
      </c>
      <c r="AA5" s="127">
        <f t="shared" ref="AA5:AA14" si="0">100*V5/(V5+Y5+W5)</f>
        <v>45.004269854824933</v>
      </c>
      <c r="AB5" s="127">
        <f t="shared" ref="AB5:AB14" si="1">100*Y5/(V5+Y5+W5)</f>
        <v>37.660119555935097</v>
      </c>
      <c r="AC5" s="127">
        <f t="shared" ref="AC5:AC14" si="2">100*W5/(V5+Y5+W5)</f>
        <v>17.335610589239966</v>
      </c>
      <c r="AD5" s="127">
        <f>Y5/(Y5+W5)</f>
        <v>0.68478260869565211</v>
      </c>
    </row>
    <row r="6" spans="1:30" ht="17" x14ac:dyDescent="0.2">
      <c r="A6" s="122" t="s">
        <v>284</v>
      </c>
      <c r="B6" s="125">
        <v>32.015621187167973</v>
      </c>
      <c r="C6" s="125">
        <v>-281.56493249168466</v>
      </c>
      <c r="D6" s="126">
        <v>0.15959999999999999</v>
      </c>
      <c r="E6" s="126">
        <v>54.26</v>
      </c>
      <c r="F6" s="126">
        <v>1.1999999999999999E-3</v>
      </c>
      <c r="G6" s="126">
        <v>4.3400000000000001E-2</v>
      </c>
      <c r="H6" s="126">
        <v>6.56</v>
      </c>
      <c r="I6" s="126">
        <v>6.7799999999999999E-2</v>
      </c>
      <c r="J6" s="126">
        <v>9.99</v>
      </c>
      <c r="K6" s="126">
        <v>13.49</v>
      </c>
      <c r="L6" s="126">
        <v>6.66</v>
      </c>
      <c r="M6" s="126">
        <v>8.1</v>
      </c>
      <c r="N6" s="126">
        <v>99.331999999999994</v>
      </c>
      <c r="O6" s="122">
        <v>4.4000000000000003E-3</v>
      </c>
      <c r="P6" s="122">
        <v>1.9730000000000001</v>
      </c>
      <c r="Q6" s="122">
        <v>1E-4</v>
      </c>
      <c r="R6" s="122">
        <v>1.2999999999999999E-3</v>
      </c>
      <c r="S6" s="122">
        <v>0.46200000000000002</v>
      </c>
      <c r="T6" s="122">
        <v>1.9E-3</v>
      </c>
      <c r="U6" s="122">
        <v>0.42799999999999999</v>
      </c>
      <c r="V6" s="122">
        <v>0.52600000000000002</v>
      </c>
      <c r="W6" s="122">
        <v>0.20300000000000001</v>
      </c>
      <c r="X6" s="122"/>
      <c r="Y6" s="122">
        <v>0.439</v>
      </c>
      <c r="Z6" s="122">
        <v>4.0388000000000002</v>
      </c>
      <c r="AA6" s="127">
        <f t="shared" si="0"/>
        <v>45.034246575342458</v>
      </c>
      <c r="AB6" s="127">
        <f t="shared" si="1"/>
        <v>37.585616438356155</v>
      </c>
      <c r="AC6" s="127">
        <f t="shared" si="2"/>
        <v>17.38013698630137</v>
      </c>
      <c r="AD6" s="127">
        <f t="shared" ref="AD6:AD14" si="3">Y6/(Y6+W6)</f>
        <v>0.68380062305295952</v>
      </c>
    </row>
    <row r="7" spans="1:30" ht="17" x14ac:dyDescent="0.2">
      <c r="A7" s="122" t="s">
        <v>285</v>
      </c>
      <c r="B7" s="125">
        <v>63.590927994860735</v>
      </c>
      <c r="C7" s="125">
        <v>-249.9896256839919</v>
      </c>
      <c r="D7" s="126">
        <v>0.1704</v>
      </c>
      <c r="E7" s="126">
        <v>54.47</v>
      </c>
      <c r="F7" s="126">
        <v>0</v>
      </c>
      <c r="G7" s="126">
        <v>4.24E-2</v>
      </c>
      <c r="H7" s="126">
        <v>6.33</v>
      </c>
      <c r="I7" s="126">
        <v>3.6400000000000002E-2</v>
      </c>
      <c r="J7" s="126">
        <v>10.06</v>
      </c>
      <c r="K7" s="126">
        <v>13.66</v>
      </c>
      <c r="L7" s="126">
        <v>6.73</v>
      </c>
      <c r="M7" s="126">
        <v>8.1300000000000008</v>
      </c>
      <c r="N7" s="126">
        <v>99.629199999999997</v>
      </c>
      <c r="O7" s="122">
        <v>4.5999999999999999E-3</v>
      </c>
      <c r="P7" s="122">
        <v>1.974</v>
      </c>
      <c r="Q7" s="122">
        <v>0</v>
      </c>
      <c r="R7" s="122">
        <v>1.2999999999999999E-3</v>
      </c>
      <c r="S7" s="122">
        <v>0.44500000000000001</v>
      </c>
      <c r="T7" s="122">
        <v>1E-3</v>
      </c>
      <c r="U7" s="122">
        <v>0.43</v>
      </c>
      <c r="V7" s="122">
        <v>0.53</v>
      </c>
      <c r="W7" s="122">
        <v>0.20399999999999999</v>
      </c>
      <c r="X7" s="122"/>
      <c r="Y7" s="122">
        <v>0.439</v>
      </c>
      <c r="Z7" s="122">
        <v>4.0289999999999999</v>
      </c>
      <c r="AA7" s="127">
        <f t="shared" si="0"/>
        <v>45.183290707587382</v>
      </c>
      <c r="AB7" s="127">
        <f t="shared" si="1"/>
        <v>37.425404944586525</v>
      </c>
      <c r="AC7" s="127">
        <f t="shared" si="2"/>
        <v>17.391304347826086</v>
      </c>
      <c r="AD7" s="127">
        <f t="shared" si="3"/>
        <v>0.68273716951788488</v>
      </c>
    </row>
    <row r="8" spans="1:30" ht="17" x14ac:dyDescent="0.2">
      <c r="A8" s="122" t="s">
        <v>286</v>
      </c>
      <c r="B8" s="125">
        <v>107.99813461720868</v>
      </c>
      <c r="C8" s="125">
        <v>-205.58241906164398</v>
      </c>
      <c r="D8" s="126">
        <v>0.20200000000000001</v>
      </c>
      <c r="E8" s="126">
        <v>54.46</v>
      </c>
      <c r="F8" s="126">
        <v>0</v>
      </c>
      <c r="G8" s="126">
        <v>3.5900000000000001E-2</v>
      </c>
      <c r="H8" s="126">
        <v>6.56</v>
      </c>
      <c r="I8" s="126">
        <v>5.4899999999999997E-2</v>
      </c>
      <c r="J8" s="126">
        <v>10.27</v>
      </c>
      <c r="K8" s="126">
        <v>13.48</v>
      </c>
      <c r="L8" s="126">
        <v>6.63</v>
      </c>
      <c r="M8" s="126">
        <v>7.97</v>
      </c>
      <c r="N8" s="126">
        <v>99.662899999999993</v>
      </c>
      <c r="O8" s="122">
        <v>5.4999999999999997E-3</v>
      </c>
      <c r="P8" s="122">
        <v>1.972</v>
      </c>
      <c r="Q8" s="122">
        <v>0</v>
      </c>
      <c r="R8" s="122">
        <v>1.1000000000000001E-3</v>
      </c>
      <c r="S8" s="122">
        <v>0.46</v>
      </c>
      <c r="T8" s="122">
        <v>1.6000000000000001E-3</v>
      </c>
      <c r="U8" s="122">
        <v>0.438</v>
      </c>
      <c r="V8" s="122">
        <v>0.52300000000000002</v>
      </c>
      <c r="W8" s="122">
        <v>0.20100000000000001</v>
      </c>
      <c r="X8" s="122"/>
      <c r="Y8" s="122">
        <v>0.43</v>
      </c>
      <c r="Z8" s="122">
        <v>4.0321999999999996</v>
      </c>
      <c r="AA8" s="127">
        <f t="shared" si="0"/>
        <v>45.320623916811087</v>
      </c>
      <c r="AB8" s="127">
        <f t="shared" si="1"/>
        <v>37.261698440207965</v>
      </c>
      <c r="AC8" s="127">
        <f t="shared" si="2"/>
        <v>17.417677642980934</v>
      </c>
      <c r="AD8" s="127">
        <f t="shared" si="3"/>
        <v>0.68145800316957206</v>
      </c>
    </row>
    <row r="9" spans="1:30" ht="17" x14ac:dyDescent="0.2">
      <c r="A9" s="122" t="s">
        <v>287</v>
      </c>
      <c r="B9" s="125">
        <v>152.82000427923072</v>
      </c>
      <c r="C9" s="125">
        <v>-160.76054939962194</v>
      </c>
      <c r="D9" s="126">
        <v>0.1709</v>
      </c>
      <c r="E9" s="126">
        <v>54.36</v>
      </c>
      <c r="F9" s="126">
        <v>1.1999999999999999E-3</v>
      </c>
      <c r="G9" s="126">
        <v>2.1399999999999999E-2</v>
      </c>
      <c r="H9" s="126">
        <v>6.37</v>
      </c>
      <c r="I9" s="126">
        <v>6.9699999999999998E-2</v>
      </c>
      <c r="J9" s="126">
        <v>9.9</v>
      </c>
      <c r="K9" s="126">
        <v>13.54</v>
      </c>
      <c r="L9" s="126">
        <v>6.65</v>
      </c>
      <c r="M9" s="126">
        <v>8.09</v>
      </c>
      <c r="N9" s="126">
        <v>99.173299999999998</v>
      </c>
      <c r="O9" s="122">
        <v>4.7000000000000002E-3</v>
      </c>
      <c r="P9" s="122">
        <v>1.978</v>
      </c>
      <c r="Q9" s="122">
        <v>1E-4</v>
      </c>
      <c r="R9" s="122">
        <v>6.9999999999999999E-4</v>
      </c>
      <c r="S9" s="122">
        <v>0.45</v>
      </c>
      <c r="T9" s="122">
        <v>2E-3</v>
      </c>
      <c r="U9" s="122">
        <v>0.42499999999999999</v>
      </c>
      <c r="V9" s="122">
        <v>0.52800000000000002</v>
      </c>
      <c r="W9" s="122">
        <v>0.20200000000000001</v>
      </c>
      <c r="X9" s="122"/>
      <c r="Y9" s="122">
        <v>0.439</v>
      </c>
      <c r="Z9" s="122">
        <v>4.0296000000000003</v>
      </c>
      <c r="AA9" s="127">
        <f t="shared" si="0"/>
        <v>45.166809238665529</v>
      </c>
      <c r="AB9" s="127">
        <f t="shared" si="1"/>
        <v>37.553464499572279</v>
      </c>
      <c r="AC9" s="127">
        <f t="shared" si="2"/>
        <v>17.279726261762193</v>
      </c>
      <c r="AD9" s="127">
        <f t="shared" si="3"/>
        <v>0.68486739469578783</v>
      </c>
    </row>
    <row r="10" spans="1:30" ht="17" x14ac:dyDescent="0.2">
      <c r="A10" s="122" t="s">
        <v>288</v>
      </c>
      <c r="B10" s="125">
        <v>184.60050144337205</v>
      </c>
      <c r="C10" s="125">
        <v>-128.9800522354806</v>
      </c>
      <c r="D10" s="126">
        <v>0.1643</v>
      </c>
      <c r="E10" s="126">
        <v>54.77</v>
      </c>
      <c r="F10" s="126">
        <v>0</v>
      </c>
      <c r="G10" s="126">
        <v>2.24E-2</v>
      </c>
      <c r="H10" s="126">
        <v>6.35</v>
      </c>
      <c r="I10" s="126">
        <v>5.7200000000000001E-2</v>
      </c>
      <c r="J10" s="126">
        <v>10.07</v>
      </c>
      <c r="K10" s="126">
        <v>13.4</v>
      </c>
      <c r="L10" s="126">
        <v>6.88</v>
      </c>
      <c r="M10" s="126">
        <v>8.0299999999999994</v>
      </c>
      <c r="N10" s="126">
        <v>99.743899999999996</v>
      </c>
      <c r="O10" s="122">
        <v>4.4999999999999997E-3</v>
      </c>
      <c r="P10" s="122">
        <v>1.9810000000000001</v>
      </c>
      <c r="Q10" s="122">
        <v>0</v>
      </c>
      <c r="R10" s="122">
        <v>6.9999999999999999E-4</v>
      </c>
      <c r="S10" s="122">
        <v>0.44500000000000001</v>
      </c>
      <c r="T10" s="122">
        <v>1.6000000000000001E-3</v>
      </c>
      <c r="U10" s="122">
        <v>0.42899999999999999</v>
      </c>
      <c r="V10" s="122">
        <v>0.51900000000000002</v>
      </c>
      <c r="W10" s="122">
        <v>0.20799999999999999</v>
      </c>
      <c r="X10" s="122"/>
      <c r="Y10" s="122">
        <v>0.433</v>
      </c>
      <c r="Z10" s="122">
        <v>4.0218999999999996</v>
      </c>
      <c r="AA10" s="127">
        <f t="shared" si="0"/>
        <v>44.741379310344833</v>
      </c>
      <c r="AB10" s="127">
        <f t="shared" si="1"/>
        <v>37.327586206896555</v>
      </c>
      <c r="AC10" s="127">
        <f t="shared" si="2"/>
        <v>17.931034482758623</v>
      </c>
      <c r="AD10" s="127">
        <f t="shared" si="3"/>
        <v>0.67550702028081122</v>
      </c>
    </row>
    <row r="11" spans="1:30" ht="17" x14ac:dyDescent="0.2">
      <c r="A11" s="122" t="s">
        <v>289</v>
      </c>
      <c r="B11" s="125">
        <v>224.4125599181603</v>
      </c>
      <c r="C11" s="125">
        <v>-89.167993760692354</v>
      </c>
      <c r="D11" s="126">
        <v>0.12180000000000001</v>
      </c>
      <c r="E11" s="126">
        <v>54.63</v>
      </c>
      <c r="F11" s="126">
        <v>0</v>
      </c>
      <c r="G11" s="126">
        <v>4.5900000000000003E-2</v>
      </c>
      <c r="H11" s="126">
        <v>6.42</v>
      </c>
      <c r="I11" s="126">
        <v>6.2700000000000006E-2</v>
      </c>
      <c r="J11" s="126">
        <v>10.26</v>
      </c>
      <c r="K11" s="126">
        <v>13.32</v>
      </c>
      <c r="L11" s="126">
        <v>6.86</v>
      </c>
      <c r="M11" s="126">
        <v>8.07</v>
      </c>
      <c r="N11" s="126">
        <v>99.790499999999994</v>
      </c>
      <c r="O11" s="122">
        <v>3.3E-3</v>
      </c>
      <c r="P11" s="122">
        <v>1.9750000000000001</v>
      </c>
      <c r="Q11" s="122">
        <v>0</v>
      </c>
      <c r="R11" s="122">
        <v>1.4E-3</v>
      </c>
      <c r="S11" s="122">
        <v>0.45</v>
      </c>
      <c r="T11" s="122">
        <v>1.8E-3</v>
      </c>
      <c r="U11" s="122">
        <v>0.437</v>
      </c>
      <c r="V11" s="122">
        <v>0.51600000000000001</v>
      </c>
      <c r="W11" s="122">
        <v>0.20699999999999999</v>
      </c>
      <c r="X11" s="122"/>
      <c r="Y11" s="122">
        <v>0.435</v>
      </c>
      <c r="Z11" s="122">
        <v>4.0266000000000002</v>
      </c>
      <c r="AA11" s="127">
        <f t="shared" si="0"/>
        <v>44.559585492227974</v>
      </c>
      <c r="AB11" s="127">
        <f t="shared" si="1"/>
        <v>37.564766839378237</v>
      </c>
      <c r="AC11" s="127">
        <f t="shared" si="2"/>
        <v>17.875647668393778</v>
      </c>
      <c r="AD11" s="127">
        <f t="shared" si="3"/>
        <v>0.67757009345794394</v>
      </c>
    </row>
    <row r="12" spans="1:30" ht="17" x14ac:dyDescent="0.2">
      <c r="A12" s="122" t="s">
        <v>290</v>
      </c>
      <c r="B12" s="125">
        <v>253.68712225477134</v>
      </c>
      <c r="C12" s="125">
        <v>-59.893431424081314</v>
      </c>
      <c r="D12" s="126">
        <v>0.13739999999999999</v>
      </c>
      <c r="E12" s="126">
        <v>54.56</v>
      </c>
      <c r="F12" s="126">
        <v>0</v>
      </c>
      <c r="G12" s="126">
        <v>2.1399999999999999E-2</v>
      </c>
      <c r="H12" s="126">
        <v>6.68</v>
      </c>
      <c r="I12" s="126">
        <v>1.54E-2</v>
      </c>
      <c r="J12" s="126">
        <v>10.42</v>
      </c>
      <c r="K12" s="126">
        <v>13.15</v>
      </c>
      <c r="L12" s="126">
        <v>6.7</v>
      </c>
      <c r="M12" s="126">
        <v>7.95</v>
      </c>
      <c r="N12" s="126">
        <v>99.634299999999996</v>
      </c>
      <c r="O12" s="122">
        <v>3.7000000000000002E-3</v>
      </c>
      <c r="P12" s="122">
        <v>1.974</v>
      </c>
      <c r="Q12" s="122">
        <v>0</v>
      </c>
      <c r="R12" s="122">
        <v>6.9999999999999999E-4</v>
      </c>
      <c r="S12" s="122">
        <v>0.46899999999999997</v>
      </c>
      <c r="T12" s="122">
        <v>4.0000000000000002E-4</v>
      </c>
      <c r="U12" s="122">
        <v>0.44400000000000001</v>
      </c>
      <c r="V12" s="122">
        <v>0.51</v>
      </c>
      <c r="W12" s="122">
        <v>0.20300000000000001</v>
      </c>
      <c r="X12" s="122"/>
      <c r="Y12" s="122">
        <v>0.42899999999999999</v>
      </c>
      <c r="Z12" s="122">
        <v>4.0339</v>
      </c>
      <c r="AA12" s="127">
        <f t="shared" si="0"/>
        <v>44.6584938704028</v>
      </c>
      <c r="AB12" s="127">
        <f t="shared" si="1"/>
        <v>37.565674255691761</v>
      </c>
      <c r="AC12" s="127">
        <f t="shared" si="2"/>
        <v>17.775831873905428</v>
      </c>
      <c r="AD12" s="127">
        <f t="shared" si="3"/>
        <v>0.67879746835443033</v>
      </c>
    </row>
    <row r="13" spans="1:30" ht="17" x14ac:dyDescent="0.2">
      <c r="A13" s="122" t="s">
        <v>291</v>
      </c>
      <c r="B13" s="125">
        <v>292.69994066103527</v>
      </c>
      <c r="C13" s="125">
        <v>-20.880613017817382</v>
      </c>
      <c r="D13" s="126">
        <v>0.1333</v>
      </c>
      <c r="E13" s="126">
        <v>54.78</v>
      </c>
      <c r="F13" s="126">
        <v>5.4999999999999997E-3</v>
      </c>
      <c r="G13" s="126">
        <v>4.2900000000000001E-2</v>
      </c>
      <c r="H13" s="126">
        <v>6.34</v>
      </c>
      <c r="I13" s="126">
        <v>2.3400000000000001E-2</v>
      </c>
      <c r="J13" s="126">
        <v>9.8699999999999992</v>
      </c>
      <c r="K13" s="126">
        <v>13.64</v>
      </c>
      <c r="L13" s="126">
        <v>6.89</v>
      </c>
      <c r="M13" s="126">
        <v>8.19</v>
      </c>
      <c r="N13" s="126">
        <v>99.915199999999999</v>
      </c>
      <c r="O13" s="122">
        <v>3.5999999999999999E-3</v>
      </c>
      <c r="P13" s="122">
        <v>1.98</v>
      </c>
      <c r="Q13" s="122">
        <v>2.9999999999999997E-4</v>
      </c>
      <c r="R13" s="122">
        <v>1.2999999999999999E-3</v>
      </c>
      <c r="S13" s="122">
        <v>0.44400000000000001</v>
      </c>
      <c r="T13" s="122">
        <v>6.9999999999999999E-4</v>
      </c>
      <c r="U13" s="122">
        <v>0.42</v>
      </c>
      <c r="V13" s="122">
        <v>0.52800000000000002</v>
      </c>
      <c r="W13" s="122">
        <v>0.20799999999999999</v>
      </c>
      <c r="X13" s="122"/>
      <c r="Y13" s="122">
        <v>0.441</v>
      </c>
      <c r="Z13" s="122">
        <v>4.0270000000000001</v>
      </c>
      <c r="AA13" s="127">
        <f t="shared" si="0"/>
        <v>44.859813084112155</v>
      </c>
      <c r="AB13" s="127">
        <f t="shared" si="1"/>
        <v>37.468139337298219</v>
      </c>
      <c r="AC13" s="127">
        <f t="shared" si="2"/>
        <v>17.672047578589634</v>
      </c>
      <c r="AD13" s="127">
        <f t="shared" si="3"/>
        <v>0.67950693374422189</v>
      </c>
    </row>
    <row r="14" spans="1:30" ht="17" x14ac:dyDescent="0.2">
      <c r="A14" s="122" t="s">
        <v>292</v>
      </c>
      <c r="B14" s="125">
        <v>313.58055367885265</v>
      </c>
      <c r="C14" s="125">
        <v>0</v>
      </c>
      <c r="D14" s="126">
        <v>0.1303</v>
      </c>
      <c r="E14" s="126">
        <v>54.83</v>
      </c>
      <c r="F14" s="126">
        <v>2.0999999999999999E-3</v>
      </c>
      <c r="G14" s="126">
        <v>2.1000000000000001E-2</v>
      </c>
      <c r="H14" s="126">
        <v>6.11</v>
      </c>
      <c r="I14" s="126">
        <v>3.2599999999999997E-2</v>
      </c>
      <c r="J14" s="126">
        <v>9.98</v>
      </c>
      <c r="K14" s="126">
        <v>13.46</v>
      </c>
      <c r="L14" s="126">
        <v>6.95</v>
      </c>
      <c r="M14" s="126">
        <v>8.2200000000000006</v>
      </c>
      <c r="N14" s="126">
        <v>99.736099999999993</v>
      </c>
      <c r="O14" s="122">
        <v>3.5000000000000001E-3</v>
      </c>
      <c r="P14" s="122">
        <v>1.982</v>
      </c>
      <c r="Q14" s="122">
        <v>1E-4</v>
      </c>
      <c r="R14" s="122">
        <v>5.9999999999999995E-4</v>
      </c>
      <c r="S14" s="122">
        <v>0.42799999999999999</v>
      </c>
      <c r="T14" s="122">
        <v>8.9999999999999998E-4</v>
      </c>
      <c r="U14" s="122">
        <v>0.42499999999999999</v>
      </c>
      <c r="V14" s="122">
        <v>0.52100000000000002</v>
      </c>
      <c r="W14" s="122">
        <v>0.21</v>
      </c>
      <c r="X14" s="122"/>
      <c r="Y14" s="122">
        <v>0.443</v>
      </c>
      <c r="Z14" s="122">
        <v>4.0141999999999998</v>
      </c>
      <c r="AA14" s="127">
        <f t="shared" si="0"/>
        <v>44.378194207836458</v>
      </c>
      <c r="AB14" s="127">
        <f t="shared" si="1"/>
        <v>37.734241908006815</v>
      </c>
      <c r="AC14" s="127">
        <f t="shared" si="2"/>
        <v>17.88756388415673</v>
      </c>
      <c r="AD14" s="127">
        <f t="shared" si="3"/>
        <v>0.67840735068912705</v>
      </c>
    </row>
    <row r="15" spans="1:30" x14ac:dyDescent="0.2">
      <c r="A15" s="122"/>
      <c r="B15" s="125"/>
      <c r="C15" s="125"/>
      <c r="E15" s="126"/>
      <c r="F15" s="126"/>
      <c r="G15" s="126"/>
      <c r="H15" s="126"/>
      <c r="I15" s="126"/>
      <c r="J15" s="126"/>
      <c r="K15" s="126"/>
      <c r="L15" s="126"/>
      <c r="M15" s="126"/>
      <c r="N15" s="126"/>
      <c r="O15" s="126"/>
      <c r="P15" s="126"/>
      <c r="Q15" s="126"/>
      <c r="R15" s="126"/>
      <c r="S15" s="126"/>
      <c r="T15" s="126"/>
      <c r="U15" s="126"/>
      <c r="V15" s="126"/>
      <c r="W15" s="126"/>
      <c r="X15" s="126"/>
      <c r="Y15" s="126"/>
      <c r="Z15" s="126"/>
      <c r="AA15" s="126"/>
      <c r="AB15" s="126"/>
      <c r="AC15" s="126"/>
      <c r="AD15" s="126"/>
    </row>
    <row r="16" spans="1:30" ht="34" x14ac:dyDescent="0.2">
      <c r="A16" s="122" t="s">
        <v>293</v>
      </c>
      <c r="B16" s="125">
        <v>0</v>
      </c>
      <c r="C16" s="125">
        <v>-691.81529917377702</v>
      </c>
      <c r="D16" s="126">
        <v>0.1734</v>
      </c>
      <c r="E16" s="126">
        <v>54.73</v>
      </c>
      <c r="F16" s="126">
        <v>0</v>
      </c>
      <c r="G16" s="126">
        <v>2.3E-2</v>
      </c>
      <c r="H16" s="126">
        <v>6.74</v>
      </c>
      <c r="I16" s="126">
        <v>4.7000000000000002E-3</v>
      </c>
      <c r="J16" s="126">
        <v>9.74</v>
      </c>
      <c r="K16" s="126">
        <v>13.82</v>
      </c>
      <c r="L16" s="126">
        <v>6.65</v>
      </c>
      <c r="M16" s="126">
        <v>8.19</v>
      </c>
      <c r="N16" s="126">
        <v>100.071</v>
      </c>
      <c r="O16" s="122">
        <v>4.7000000000000002E-3</v>
      </c>
      <c r="P16" s="122">
        <v>1.9770000000000001</v>
      </c>
      <c r="Q16" s="122">
        <v>0</v>
      </c>
      <c r="R16" s="122">
        <v>6.9999999999999999E-4</v>
      </c>
      <c r="S16" s="122">
        <v>0.47199999999999998</v>
      </c>
      <c r="T16" s="122">
        <v>1E-4</v>
      </c>
      <c r="U16" s="122">
        <v>0.41499999999999998</v>
      </c>
      <c r="V16" s="122">
        <v>0.53500000000000003</v>
      </c>
      <c r="W16" s="122">
        <v>0.20100000000000001</v>
      </c>
      <c r="X16" s="122"/>
      <c r="Y16" s="122">
        <v>0.441</v>
      </c>
      <c r="Z16" s="122">
        <v>4.0465999999999998</v>
      </c>
      <c r="AA16" s="127">
        <f>100*V16/(V16+Y16+W16)</f>
        <v>45.454545454545453</v>
      </c>
      <c r="AB16" s="127">
        <f>100*Y16/(V16+Y16+W16)</f>
        <v>37.468139337298219</v>
      </c>
      <c r="AC16" s="127">
        <f>100*W16/(V16+Y16+W16)</f>
        <v>17.077315208156332</v>
      </c>
      <c r="AD16" s="127">
        <f>Y16/(Y16+W16)</f>
        <v>0.68691588785046731</v>
      </c>
    </row>
    <row r="17" spans="1:30" ht="34" x14ac:dyDescent="0.2">
      <c r="A17" s="122" t="s">
        <v>294</v>
      </c>
      <c r="B17" s="125">
        <v>156.54072952430369</v>
      </c>
      <c r="C17" s="125">
        <v>-535.27456964947328</v>
      </c>
      <c r="D17" s="126">
        <v>0.1363</v>
      </c>
      <c r="E17" s="126">
        <v>54.55</v>
      </c>
      <c r="F17" s="126">
        <v>0</v>
      </c>
      <c r="G17" s="126">
        <v>1.5E-3</v>
      </c>
      <c r="H17" s="126">
        <v>6.29</v>
      </c>
      <c r="I17" s="126">
        <v>2.5600000000000001E-2</v>
      </c>
      <c r="J17" s="126">
        <v>10.050000000000001</v>
      </c>
      <c r="K17" s="126">
        <v>13.67</v>
      </c>
      <c r="L17" s="126">
        <v>6.74</v>
      </c>
      <c r="M17" s="126">
        <v>8.01</v>
      </c>
      <c r="N17" s="126">
        <v>99.473399999999998</v>
      </c>
      <c r="O17" s="122">
        <v>3.7000000000000002E-3</v>
      </c>
      <c r="P17" s="122">
        <v>1.978</v>
      </c>
      <c r="Q17" s="122">
        <v>0</v>
      </c>
      <c r="R17" s="122">
        <v>0</v>
      </c>
      <c r="S17" s="122">
        <v>0.442</v>
      </c>
      <c r="T17" s="122">
        <v>6.9999999999999999E-4</v>
      </c>
      <c r="U17" s="122">
        <v>0.43</v>
      </c>
      <c r="V17" s="122">
        <v>0.53100000000000003</v>
      </c>
      <c r="W17" s="122">
        <v>0.20499999999999999</v>
      </c>
      <c r="X17" s="122"/>
      <c r="Y17" s="122">
        <v>0.433</v>
      </c>
      <c r="Z17" s="122">
        <v>4.0235000000000003</v>
      </c>
      <c r="AA17" s="127">
        <f>100*V17/(V17+Y17+W17)</f>
        <v>45.42343883661249</v>
      </c>
      <c r="AB17" s="127">
        <f>100*Y17/(V17+Y17+W17)</f>
        <v>37.040205303678356</v>
      </c>
      <c r="AC17" s="127">
        <f>100*W17/(V17+Y17+W17)</f>
        <v>17.536355859709154</v>
      </c>
      <c r="AD17" s="127">
        <f>Y17/(Y17+W17)</f>
        <v>0.67868338557993724</v>
      </c>
    </row>
    <row r="18" spans="1:30" ht="34" x14ac:dyDescent="0.2">
      <c r="A18" s="122" t="s">
        <v>295</v>
      </c>
      <c r="B18" s="125">
        <v>442.85000286346832</v>
      </c>
      <c r="C18" s="125">
        <v>-248.9652963103087</v>
      </c>
      <c r="D18" s="126">
        <v>0.19009999999999999</v>
      </c>
      <c r="E18" s="126">
        <v>54.61</v>
      </c>
      <c r="F18" s="126">
        <v>0</v>
      </c>
      <c r="G18" s="126">
        <v>2.8400000000000002E-2</v>
      </c>
      <c r="H18" s="126">
        <v>6.57</v>
      </c>
      <c r="I18" s="126">
        <v>1.4E-2</v>
      </c>
      <c r="J18" s="126">
        <v>10.199999999999999</v>
      </c>
      <c r="K18" s="126">
        <v>13.75</v>
      </c>
      <c r="L18" s="126">
        <v>6.69</v>
      </c>
      <c r="M18" s="126">
        <v>7.96</v>
      </c>
      <c r="N18" s="126">
        <v>100.0125</v>
      </c>
      <c r="O18" s="122">
        <v>5.1999999999999998E-3</v>
      </c>
      <c r="P18" s="122">
        <v>1.972</v>
      </c>
      <c r="Q18" s="122">
        <v>0</v>
      </c>
      <c r="R18" s="122">
        <v>8.9999999999999998E-4</v>
      </c>
      <c r="S18" s="122">
        <v>0.46</v>
      </c>
      <c r="T18" s="122">
        <v>4.0000000000000002E-4</v>
      </c>
      <c r="U18" s="122">
        <v>0.434</v>
      </c>
      <c r="V18" s="122">
        <v>0.53200000000000003</v>
      </c>
      <c r="W18" s="122">
        <v>0.20200000000000001</v>
      </c>
      <c r="X18" s="122"/>
      <c r="Y18" s="122">
        <v>0.42899999999999999</v>
      </c>
      <c r="Z18" s="122">
        <v>4.0355999999999996</v>
      </c>
      <c r="AA18" s="127">
        <f>100*V18/(V18+Y18+W18)</f>
        <v>45.743766122098023</v>
      </c>
      <c r="AB18" s="127">
        <f>100*Y18/(V18+Y18+W18)</f>
        <v>36.887360275150471</v>
      </c>
      <c r="AC18" s="127">
        <f>100*W18/(V18+Y18+W18)</f>
        <v>17.368873602751506</v>
      </c>
      <c r="AD18" s="127">
        <f>Y18/(Y18+W18)</f>
        <v>0.67987321711568938</v>
      </c>
    </row>
    <row r="19" spans="1:30" ht="34" x14ac:dyDescent="0.2">
      <c r="A19" s="122" t="s">
        <v>296</v>
      </c>
      <c r="B19" s="125">
        <v>564.67364588895464</v>
      </c>
      <c r="C19" s="125">
        <v>-127.14165328482238</v>
      </c>
      <c r="D19" s="126">
        <v>0.18229999999999999</v>
      </c>
      <c r="E19" s="126">
        <v>54.15</v>
      </c>
      <c r="F19" s="126">
        <v>0</v>
      </c>
      <c r="G19" s="126">
        <v>3.1399999999999997E-2</v>
      </c>
      <c r="H19" s="126">
        <v>6.55</v>
      </c>
      <c r="I19" s="126">
        <v>2.6200000000000001E-2</v>
      </c>
      <c r="J19" s="126">
        <v>10.17</v>
      </c>
      <c r="K19" s="126">
        <v>13.68</v>
      </c>
      <c r="L19" s="126">
        <v>6.79</v>
      </c>
      <c r="M19" s="126">
        <v>8.06</v>
      </c>
      <c r="N19" s="126">
        <v>99.64</v>
      </c>
      <c r="O19" s="122">
        <v>5.0000000000000001E-3</v>
      </c>
      <c r="P19" s="122">
        <v>1.9650000000000001</v>
      </c>
      <c r="Q19" s="122">
        <v>0</v>
      </c>
      <c r="R19" s="122">
        <v>1E-3</v>
      </c>
      <c r="S19" s="122">
        <v>0.46100000000000002</v>
      </c>
      <c r="T19" s="122">
        <v>8.0000000000000004E-4</v>
      </c>
      <c r="U19" s="122">
        <v>0.435</v>
      </c>
      <c r="V19" s="122">
        <v>0.53200000000000003</v>
      </c>
      <c r="W19" s="122">
        <v>0.20599999999999999</v>
      </c>
      <c r="X19" s="122"/>
      <c r="Y19" s="122">
        <v>0.436</v>
      </c>
      <c r="Z19" s="122">
        <v>4.0419</v>
      </c>
      <c r="AA19" s="127">
        <f>100*V19/(V19+Y19+W19)</f>
        <v>45.31516183986372</v>
      </c>
      <c r="AB19" s="127">
        <f>100*Y19/(V19+Y19+W19)</f>
        <v>37.13798977853493</v>
      </c>
      <c r="AC19" s="127">
        <f>100*W19/(V19+Y19+W19)</f>
        <v>17.546848381601361</v>
      </c>
      <c r="AD19" s="127">
        <f>Y19/(Y19+W19)</f>
        <v>0.67912772585669778</v>
      </c>
    </row>
    <row r="20" spans="1:30" ht="34" x14ac:dyDescent="0.2">
      <c r="A20" s="122" t="s">
        <v>297</v>
      </c>
      <c r="B20" s="125">
        <v>691.81529917377702</v>
      </c>
      <c r="C20" s="125">
        <v>0</v>
      </c>
      <c r="D20" s="126">
        <v>0.15240000000000001</v>
      </c>
      <c r="E20" s="126">
        <v>54.66</v>
      </c>
      <c r="F20" s="126">
        <v>1.1999999999999999E-3</v>
      </c>
      <c r="G20" s="126">
        <v>2.4500000000000001E-2</v>
      </c>
      <c r="H20" s="126">
        <v>6.51</v>
      </c>
      <c r="I20" s="126">
        <v>6.1899999999999997E-2</v>
      </c>
      <c r="J20" s="126">
        <v>10.199999999999999</v>
      </c>
      <c r="K20" s="126">
        <v>13.51</v>
      </c>
      <c r="L20" s="126">
        <v>6.81</v>
      </c>
      <c r="M20" s="126">
        <v>7.93</v>
      </c>
      <c r="N20" s="126">
        <v>99.860100000000003</v>
      </c>
      <c r="O20" s="122">
        <v>4.1000000000000003E-3</v>
      </c>
      <c r="P20" s="122">
        <v>1.976</v>
      </c>
      <c r="Q20" s="122">
        <v>1E-4</v>
      </c>
      <c r="R20" s="122">
        <v>6.9999999999999999E-4</v>
      </c>
      <c r="S20" s="122">
        <v>0.45600000000000002</v>
      </c>
      <c r="T20" s="122">
        <v>1.8E-3</v>
      </c>
      <c r="U20" s="122">
        <v>0.435</v>
      </c>
      <c r="V20" s="122">
        <v>0.52300000000000002</v>
      </c>
      <c r="W20" s="122">
        <v>0.20599999999999999</v>
      </c>
      <c r="X20" s="122"/>
      <c r="Y20" s="122">
        <v>0.42699999999999999</v>
      </c>
      <c r="Z20" s="122">
        <v>4.0297000000000001</v>
      </c>
      <c r="AA20" s="127">
        <f>100*V20/(V20+Y20+W20)</f>
        <v>45.242214532871976</v>
      </c>
      <c r="AB20" s="127">
        <f>100*Y20/(V20+Y20+W20)</f>
        <v>36.937716262975776</v>
      </c>
      <c r="AC20" s="127">
        <f>100*W20/(V20+Y20+W20)</f>
        <v>17.820069204152247</v>
      </c>
      <c r="AD20" s="127">
        <f>Y20/(Y20+W20)</f>
        <v>0.674565560821485</v>
      </c>
    </row>
    <row r="21" spans="1:30" x14ac:dyDescent="0.2">
      <c r="A21" s="122"/>
      <c r="B21" s="125"/>
      <c r="C21" s="125"/>
      <c r="D21" s="126"/>
      <c r="E21" s="126"/>
      <c r="F21" s="126"/>
      <c r="G21" s="126"/>
      <c r="H21" s="126"/>
      <c r="I21" s="126"/>
      <c r="J21" s="126"/>
      <c r="K21" s="126"/>
      <c r="L21" s="126"/>
      <c r="M21" s="126"/>
      <c r="N21" s="126"/>
      <c r="O21" s="122"/>
      <c r="P21" s="122"/>
      <c r="Q21" s="122"/>
      <c r="R21" s="122"/>
      <c r="S21" s="122"/>
      <c r="T21" s="122"/>
      <c r="U21" s="122"/>
      <c r="V21" s="122"/>
      <c r="W21" s="122"/>
      <c r="X21" s="122"/>
      <c r="Y21" s="122"/>
      <c r="Z21" s="122"/>
      <c r="AA21" s="127"/>
      <c r="AB21" s="127"/>
      <c r="AC21" s="127"/>
      <c r="AD21" s="127"/>
    </row>
    <row r="22" spans="1:30" ht="17" x14ac:dyDescent="0.2">
      <c r="A22" s="119" t="s">
        <v>141</v>
      </c>
      <c r="B22" s="125"/>
      <c r="C22" s="125"/>
      <c r="D22" s="126">
        <f>AVERAGE(D5:D20)</f>
        <v>0.15949333333333335</v>
      </c>
      <c r="E22" s="126">
        <f t="shared" ref="E22:AD22" si="4">AVERAGE(E5:E20)</f>
        <v>54.548666666666662</v>
      </c>
      <c r="F22" s="126">
        <f t="shared" si="4"/>
        <v>1.6999999999999999E-3</v>
      </c>
      <c r="G22" s="126">
        <f t="shared" si="4"/>
        <v>3.0393333333333331E-2</v>
      </c>
      <c r="H22" s="126">
        <f t="shared" si="4"/>
        <v>6.4366666666666674</v>
      </c>
      <c r="I22" s="126">
        <f t="shared" si="4"/>
        <v>4.0166666666666663E-2</v>
      </c>
      <c r="J22" s="126">
        <f t="shared" si="4"/>
        <v>10.083333333333332</v>
      </c>
      <c r="K22" s="126">
        <f t="shared" si="4"/>
        <v>13.541999999999998</v>
      </c>
      <c r="L22" s="126">
        <f t="shared" si="4"/>
        <v>6.7553333333333345</v>
      </c>
      <c r="M22" s="126">
        <f t="shared" si="4"/>
        <v>8.0693333333333328</v>
      </c>
      <c r="N22" s="126">
        <f t="shared" si="4"/>
        <v>99.667133333333354</v>
      </c>
      <c r="O22" s="126">
        <f t="shared" si="4"/>
        <v>4.3400000000000001E-3</v>
      </c>
      <c r="P22" s="126">
        <f t="shared" si="4"/>
        <v>1.9755333333333334</v>
      </c>
      <c r="Q22" s="126">
        <f t="shared" si="4"/>
        <v>9.3333333333333343E-5</v>
      </c>
      <c r="R22" s="126">
        <f t="shared" si="4"/>
        <v>9.33333333333333E-4</v>
      </c>
      <c r="S22" s="126">
        <f t="shared" si="4"/>
        <v>0.45186666666666669</v>
      </c>
      <c r="T22" s="126">
        <f t="shared" si="4"/>
        <v>1.1399999999999997E-3</v>
      </c>
      <c r="U22" s="126">
        <f t="shared" si="4"/>
        <v>0.43039999999999989</v>
      </c>
      <c r="V22" s="126">
        <f t="shared" si="4"/>
        <v>0.52539999999999998</v>
      </c>
      <c r="W22" s="126">
        <f t="shared" si="4"/>
        <v>0.2046</v>
      </c>
      <c r="X22" s="126"/>
      <c r="Y22" s="126">
        <f t="shared" si="4"/>
        <v>0.43566666666666654</v>
      </c>
      <c r="Z22" s="126">
        <f t="shared" si="4"/>
        <v>4.030053333333333</v>
      </c>
      <c r="AA22" s="126">
        <f t="shared" si="4"/>
        <v>45.072388869609817</v>
      </c>
      <c r="AB22" s="126">
        <f t="shared" si="4"/>
        <v>37.374541558904497</v>
      </c>
      <c r="AC22" s="126">
        <f t="shared" si="4"/>
        <v>17.55306957148569</v>
      </c>
      <c r="AD22" s="126">
        <f t="shared" si="4"/>
        <v>0.6804400295255113</v>
      </c>
    </row>
    <row r="23" spans="1:30" x14ac:dyDescent="0.2">
      <c r="B23" s="125"/>
      <c r="C23" s="125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</row>
    <row r="24" spans="1:30" ht="17" x14ac:dyDescent="0.2">
      <c r="A24" s="122" t="s">
        <v>298</v>
      </c>
      <c r="B24" s="125">
        <v>0</v>
      </c>
      <c r="C24" s="125">
        <v>-1944.3861371266694</v>
      </c>
      <c r="D24" s="128">
        <v>0.12180000000000001</v>
      </c>
      <c r="E24" s="128">
        <v>54.95</v>
      </c>
      <c r="F24" s="128">
        <v>0</v>
      </c>
      <c r="G24" s="128">
        <v>1.7500000000000002E-2</v>
      </c>
      <c r="H24" s="128">
        <v>6.13</v>
      </c>
      <c r="I24" s="128">
        <v>5.3199999999999997E-2</v>
      </c>
      <c r="J24" s="128">
        <v>10.37</v>
      </c>
      <c r="K24" s="128">
        <v>13.99</v>
      </c>
      <c r="L24" s="128">
        <v>4.9800000000000004</v>
      </c>
      <c r="M24" s="128">
        <v>8.89</v>
      </c>
      <c r="N24" s="128">
        <v>99.502600000000001</v>
      </c>
      <c r="O24" s="129">
        <v>3.3E-3</v>
      </c>
      <c r="P24" s="129">
        <v>1.976</v>
      </c>
      <c r="Q24" s="129">
        <v>0</v>
      </c>
      <c r="R24" s="129">
        <v>5.0000000000000001E-4</v>
      </c>
      <c r="S24" s="129">
        <v>0.42799999999999999</v>
      </c>
      <c r="T24" s="129">
        <v>1.5E-3</v>
      </c>
      <c r="U24" s="129">
        <v>0.439</v>
      </c>
      <c r="V24" s="129">
        <v>0.53900000000000003</v>
      </c>
      <c r="W24" s="129">
        <v>0.15</v>
      </c>
      <c r="X24" s="129"/>
      <c r="Y24" s="129">
        <v>0.47599999999999998</v>
      </c>
      <c r="Z24" s="129">
        <v>4.0133999999999999</v>
      </c>
      <c r="AA24" s="130">
        <f>100*V24/(V24+Y24+W24)</f>
        <v>46.266094420600865</v>
      </c>
      <c r="AB24" s="130">
        <f>100*Y24/(V24+Y24+W24)</f>
        <v>40.858369098712437</v>
      </c>
      <c r="AC24" s="130">
        <f>100*W24/(V24+Y24+W24)</f>
        <v>12.875536480686694</v>
      </c>
      <c r="AD24" s="130">
        <f t="shared" ref="AD24:AD33" si="5">Y24/(Y24+W24)</f>
        <v>0.76038338658146964</v>
      </c>
    </row>
    <row r="25" spans="1:30" ht="17" x14ac:dyDescent="0.2">
      <c r="A25" s="122" t="s">
        <v>299</v>
      </c>
      <c r="B25" s="125">
        <v>210.60151946270562</v>
      </c>
      <c r="C25" s="125">
        <v>-1733.7846176639637</v>
      </c>
      <c r="D25" s="128">
        <v>0.1464</v>
      </c>
      <c r="E25" s="128">
        <v>54.82</v>
      </c>
      <c r="F25" s="128">
        <v>0</v>
      </c>
      <c r="G25" s="128">
        <v>1.4999999999999999E-2</v>
      </c>
      <c r="H25" s="128">
        <v>6.09</v>
      </c>
      <c r="I25" s="128">
        <v>0.1163</v>
      </c>
      <c r="J25" s="128">
        <v>10.220000000000001</v>
      </c>
      <c r="K25" s="128">
        <v>14.16</v>
      </c>
      <c r="L25" s="128">
        <v>5.04</v>
      </c>
      <c r="M25" s="128">
        <v>8.73</v>
      </c>
      <c r="N25" s="128">
        <v>99.337800000000001</v>
      </c>
      <c r="O25" s="129">
        <v>4.0000000000000001E-3</v>
      </c>
      <c r="P25" s="129">
        <v>1.9770000000000001</v>
      </c>
      <c r="Q25" s="129">
        <v>0</v>
      </c>
      <c r="R25" s="129">
        <v>5.0000000000000001E-4</v>
      </c>
      <c r="S25" s="129">
        <v>0.42599999999999999</v>
      </c>
      <c r="T25" s="129">
        <v>3.3E-3</v>
      </c>
      <c r="U25" s="129">
        <v>0.435</v>
      </c>
      <c r="V25" s="129">
        <v>0.54700000000000004</v>
      </c>
      <c r="W25" s="129">
        <v>0.152</v>
      </c>
      <c r="X25" s="129"/>
      <c r="Y25" s="129">
        <v>0.46899999999999997</v>
      </c>
      <c r="Z25" s="129">
        <v>4.0137999999999998</v>
      </c>
      <c r="AA25" s="130">
        <f t="shared" ref="AA25:AA33" si="6">100*V25/(V25+Y25+W25)</f>
        <v>46.832191780821923</v>
      </c>
      <c r="AB25" s="130">
        <f t="shared" ref="AB25:AB33" si="7">100*Y25/(V25+Y25+W25)</f>
        <v>40.154109589041099</v>
      </c>
      <c r="AC25" s="130">
        <f t="shared" ref="AC25:AC33" si="8">100*W25/(V25+Y25+W25)</f>
        <v>13.013698630136986</v>
      </c>
      <c r="AD25" s="130">
        <f t="shared" si="5"/>
        <v>0.75523349436392906</v>
      </c>
    </row>
    <row r="26" spans="1:30" ht="17" x14ac:dyDescent="0.2">
      <c r="A26" s="122" t="s">
        <v>300</v>
      </c>
      <c r="B26" s="125">
        <v>441.91299777711936</v>
      </c>
      <c r="C26" s="125">
        <v>-1502.4731393495499</v>
      </c>
      <c r="D26" s="128">
        <v>0.1255</v>
      </c>
      <c r="E26" s="128">
        <v>54.97</v>
      </c>
      <c r="F26" s="128">
        <v>2.9999999999999997E-4</v>
      </c>
      <c r="G26" s="128">
        <v>1.15E-2</v>
      </c>
      <c r="H26" s="128">
        <v>5.94</v>
      </c>
      <c r="I26" s="128">
        <v>8.5400000000000004E-2</v>
      </c>
      <c r="J26" s="128">
        <v>10.039999999999999</v>
      </c>
      <c r="K26" s="128">
        <v>14.39</v>
      </c>
      <c r="L26" s="128">
        <v>4.92</v>
      </c>
      <c r="M26" s="128">
        <v>9.26</v>
      </c>
      <c r="N26" s="128">
        <v>99.742800000000003</v>
      </c>
      <c r="O26" s="129">
        <v>3.3999999999999998E-3</v>
      </c>
      <c r="P26" s="129">
        <v>1.974</v>
      </c>
      <c r="Q26" s="129">
        <v>0</v>
      </c>
      <c r="R26" s="129">
        <v>2.9999999999999997E-4</v>
      </c>
      <c r="S26" s="129">
        <v>0.41399999999999998</v>
      </c>
      <c r="T26" s="129">
        <v>2.3999999999999998E-3</v>
      </c>
      <c r="U26" s="129">
        <v>0.42499999999999999</v>
      </c>
      <c r="V26" s="129">
        <v>0.55400000000000005</v>
      </c>
      <c r="W26" s="129">
        <v>0.14799999999999999</v>
      </c>
      <c r="X26" s="129"/>
      <c r="Y26" s="129">
        <v>0.495</v>
      </c>
      <c r="Z26" s="129">
        <v>4.0160999999999998</v>
      </c>
      <c r="AA26" s="130">
        <f t="shared" si="6"/>
        <v>46.282372598162084</v>
      </c>
      <c r="AB26" s="130">
        <f t="shared" si="7"/>
        <v>41.353383458646618</v>
      </c>
      <c r="AC26" s="130">
        <f t="shared" si="8"/>
        <v>12.364243943191312</v>
      </c>
      <c r="AD26" s="130">
        <f t="shared" si="5"/>
        <v>0.76982892690513216</v>
      </c>
    </row>
    <row r="27" spans="1:30" ht="17" x14ac:dyDescent="0.2">
      <c r="A27" s="122" t="s">
        <v>301</v>
      </c>
      <c r="B27" s="125">
        <v>646.87640914607482</v>
      </c>
      <c r="C27" s="125">
        <v>-1297.5097279805946</v>
      </c>
      <c r="D27" s="128">
        <v>0.16389999999999999</v>
      </c>
      <c r="E27" s="128">
        <v>54.87</v>
      </c>
      <c r="F27" s="128">
        <v>0</v>
      </c>
      <c r="G27" s="128">
        <v>1.2E-2</v>
      </c>
      <c r="H27" s="128">
        <v>5.9</v>
      </c>
      <c r="I27" s="128">
        <v>6.3700000000000007E-2</v>
      </c>
      <c r="J27" s="128">
        <v>10.09</v>
      </c>
      <c r="K27" s="128">
        <v>14.41</v>
      </c>
      <c r="L27" s="128">
        <v>5.0999999999999996</v>
      </c>
      <c r="M27" s="128">
        <v>8.89</v>
      </c>
      <c r="N27" s="128">
        <v>99.499600000000001</v>
      </c>
      <c r="O27" s="129">
        <v>4.4000000000000003E-3</v>
      </c>
      <c r="P27" s="129">
        <v>1.976</v>
      </c>
      <c r="Q27" s="129">
        <v>0</v>
      </c>
      <c r="R27" s="129">
        <v>4.0000000000000002E-4</v>
      </c>
      <c r="S27" s="129">
        <v>0.41199999999999998</v>
      </c>
      <c r="T27" s="129">
        <v>1.8E-3</v>
      </c>
      <c r="U27" s="129">
        <v>0.42799999999999999</v>
      </c>
      <c r="V27" s="129">
        <v>0.55600000000000005</v>
      </c>
      <c r="W27" s="129">
        <v>0.154</v>
      </c>
      <c r="X27" s="129"/>
      <c r="Y27" s="129">
        <v>0.47699999999999998</v>
      </c>
      <c r="Z27" s="129">
        <v>4.0095999999999998</v>
      </c>
      <c r="AA27" s="130">
        <f t="shared" si="6"/>
        <v>46.840775063184509</v>
      </c>
      <c r="AB27" s="130">
        <f t="shared" si="7"/>
        <v>40.18534119629318</v>
      </c>
      <c r="AC27" s="130">
        <f t="shared" si="8"/>
        <v>12.973883740522327</v>
      </c>
      <c r="AD27" s="130">
        <f t="shared" si="5"/>
        <v>0.75594294770206016</v>
      </c>
    </row>
    <row r="28" spans="1:30" ht="17" x14ac:dyDescent="0.2">
      <c r="A28" s="122" t="s">
        <v>302</v>
      </c>
      <c r="B28" s="125">
        <v>862.41758850631163</v>
      </c>
      <c r="C28" s="125">
        <v>-1081.9685486203578</v>
      </c>
      <c r="D28" s="128">
        <v>0.12479999999999999</v>
      </c>
      <c r="E28" s="128">
        <v>54.82</v>
      </c>
      <c r="F28" s="128">
        <v>0</v>
      </c>
      <c r="G28" s="128">
        <v>1.4E-2</v>
      </c>
      <c r="H28" s="128">
        <v>6.23</v>
      </c>
      <c r="I28" s="128">
        <v>4.0800000000000003E-2</v>
      </c>
      <c r="J28" s="128">
        <v>10.14</v>
      </c>
      <c r="K28" s="128">
        <v>14.22</v>
      </c>
      <c r="L28" s="128">
        <v>5.0199999999999996</v>
      </c>
      <c r="M28" s="128">
        <v>8.8800000000000008</v>
      </c>
      <c r="N28" s="128">
        <v>99.489599999999996</v>
      </c>
      <c r="O28" s="129">
        <v>3.3999999999999998E-3</v>
      </c>
      <c r="P28" s="129">
        <v>1.9750000000000001</v>
      </c>
      <c r="Q28" s="129">
        <v>0</v>
      </c>
      <c r="R28" s="129">
        <v>4.0000000000000002E-4</v>
      </c>
      <c r="S28" s="129">
        <v>0.435</v>
      </c>
      <c r="T28" s="129">
        <v>1.1999999999999999E-3</v>
      </c>
      <c r="U28" s="129">
        <v>0.43099999999999999</v>
      </c>
      <c r="V28" s="129">
        <v>0.54900000000000004</v>
      </c>
      <c r="W28" s="129">
        <v>0.151</v>
      </c>
      <c r="X28" s="129"/>
      <c r="Y28" s="129">
        <v>0.47699999999999998</v>
      </c>
      <c r="Z28" s="129">
        <v>4.0229999999999997</v>
      </c>
      <c r="AA28" s="130">
        <f t="shared" si="6"/>
        <v>46.644010195412065</v>
      </c>
      <c r="AB28" s="130">
        <f t="shared" si="7"/>
        <v>40.526762956669494</v>
      </c>
      <c r="AC28" s="130">
        <f t="shared" si="8"/>
        <v>12.829226847918436</v>
      </c>
      <c r="AD28" s="130">
        <f t="shared" si="5"/>
        <v>0.75955414012738853</v>
      </c>
    </row>
    <row r="29" spans="1:30" ht="17" x14ac:dyDescent="0.2">
      <c r="A29" s="122" t="s">
        <v>303</v>
      </c>
      <c r="B29" s="125">
        <v>1077.9587678665466</v>
      </c>
      <c r="C29" s="125">
        <v>-866.42736926012276</v>
      </c>
      <c r="D29" s="128">
        <v>0.1135</v>
      </c>
      <c r="E29" s="128">
        <v>55.44</v>
      </c>
      <c r="F29" s="128">
        <v>0</v>
      </c>
      <c r="G29" s="128">
        <v>0</v>
      </c>
      <c r="H29" s="128">
        <v>6.22</v>
      </c>
      <c r="I29" s="128">
        <v>5.8000000000000003E-2</v>
      </c>
      <c r="J29" s="128">
        <v>10.02</v>
      </c>
      <c r="K29" s="128">
        <v>14.41</v>
      </c>
      <c r="L29" s="128">
        <v>4.88</v>
      </c>
      <c r="M29" s="128">
        <v>8.89</v>
      </c>
      <c r="N29" s="128">
        <v>100.0314</v>
      </c>
      <c r="O29" s="129">
        <v>3.0999999999999999E-3</v>
      </c>
      <c r="P29" s="129">
        <v>1.984</v>
      </c>
      <c r="Q29" s="129">
        <v>0</v>
      </c>
      <c r="R29" s="129">
        <v>0</v>
      </c>
      <c r="S29" s="129">
        <v>0.43099999999999999</v>
      </c>
      <c r="T29" s="129">
        <v>1.6000000000000001E-3</v>
      </c>
      <c r="U29" s="129">
        <v>0.42299999999999999</v>
      </c>
      <c r="V29" s="129">
        <v>0.55300000000000005</v>
      </c>
      <c r="W29" s="129">
        <v>0.14599999999999999</v>
      </c>
      <c r="X29" s="129"/>
      <c r="Y29" s="129">
        <v>0.47399999999999998</v>
      </c>
      <c r="Z29" s="129">
        <v>4.0156999999999998</v>
      </c>
      <c r="AA29" s="130">
        <f t="shared" si="6"/>
        <v>47.144075021312872</v>
      </c>
      <c r="AB29" s="130">
        <f t="shared" si="7"/>
        <v>40.409207161125316</v>
      </c>
      <c r="AC29" s="130">
        <f t="shared" si="8"/>
        <v>12.446717817561806</v>
      </c>
      <c r="AD29" s="130">
        <f t="shared" si="5"/>
        <v>0.76451612903225807</v>
      </c>
    </row>
    <row r="30" spans="1:30" ht="17" x14ac:dyDescent="0.2">
      <c r="A30" s="122" t="s">
        <v>304</v>
      </c>
      <c r="B30" s="125">
        <v>1293.4999472267775</v>
      </c>
      <c r="C30" s="125">
        <v>-650.88618989989186</v>
      </c>
      <c r="D30" s="128">
        <v>0.12670000000000001</v>
      </c>
      <c r="E30" s="128">
        <v>55.36</v>
      </c>
      <c r="F30" s="128">
        <v>0</v>
      </c>
      <c r="G30" s="128">
        <v>2.5000000000000001E-2</v>
      </c>
      <c r="H30" s="128">
        <v>6.29</v>
      </c>
      <c r="I30" s="128">
        <v>5.9799999999999999E-2</v>
      </c>
      <c r="J30" s="128">
        <v>10.06</v>
      </c>
      <c r="K30" s="128">
        <v>14.4</v>
      </c>
      <c r="L30" s="128">
        <v>4.88</v>
      </c>
      <c r="M30" s="128">
        <v>8.8699999999999992</v>
      </c>
      <c r="N30" s="128">
        <v>100.0714</v>
      </c>
      <c r="O30" s="129">
        <v>3.3999999999999998E-3</v>
      </c>
      <c r="P30" s="129">
        <v>1.982</v>
      </c>
      <c r="Q30" s="129">
        <v>0</v>
      </c>
      <c r="R30" s="129">
        <v>8.0000000000000004E-4</v>
      </c>
      <c r="S30" s="129">
        <v>0.436</v>
      </c>
      <c r="T30" s="129">
        <v>1.6999999999999999E-3</v>
      </c>
      <c r="U30" s="129">
        <v>0.42499999999999999</v>
      </c>
      <c r="V30" s="129">
        <v>0.55200000000000005</v>
      </c>
      <c r="W30" s="129">
        <v>0.14599999999999999</v>
      </c>
      <c r="X30" s="129"/>
      <c r="Y30" s="129">
        <v>0.47299999999999998</v>
      </c>
      <c r="Z30" s="129">
        <v>4.0198999999999998</v>
      </c>
      <c r="AA30" s="130">
        <f t="shared" si="6"/>
        <v>47.139197267292921</v>
      </c>
      <c r="AB30" s="130">
        <f t="shared" si="7"/>
        <v>40.392826643894111</v>
      </c>
      <c r="AC30" s="130">
        <f t="shared" si="8"/>
        <v>12.467976088812982</v>
      </c>
      <c r="AD30" s="130">
        <f t="shared" si="5"/>
        <v>0.76413570274636511</v>
      </c>
    </row>
    <row r="31" spans="1:30" ht="17" x14ac:dyDescent="0.2">
      <c r="A31" s="122" t="s">
        <v>305</v>
      </c>
      <c r="B31" s="125">
        <v>1532.2990259519659</v>
      </c>
      <c r="C31" s="125">
        <v>-412.08711117470352</v>
      </c>
      <c r="D31" s="128">
        <v>0.10150000000000001</v>
      </c>
      <c r="E31" s="128">
        <v>55.35</v>
      </c>
      <c r="F31" s="128">
        <v>0</v>
      </c>
      <c r="G31" s="128">
        <v>0.01</v>
      </c>
      <c r="H31" s="128">
        <v>6.15</v>
      </c>
      <c r="I31" s="128">
        <v>7.4099999999999999E-2</v>
      </c>
      <c r="J31" s="128">
        <v>9.85</v>
      </c>
      <c r="K31" s="128">
        <v>14.35</v>
      </c>
      <c r="L31" s="128">
        <v>4.9800000000000004</v>
      </c>
      <c r="M31" s="128">
        <v>8.9</v>
      </c>
      <c r="N31" s="128">
        <v>99.765699999999995</v>
      </c>
      <c r="O31" s="129">
        <v>2.7000000000000001E-3</v>
      </c>
      <c r="P31" s="129">
        <v>1.9870000000000001</v>
      </c>
      <c r="Q31" s="129">
        <v>0</v>
      </c>
      <c r="R31" s="129">
        <v>2.9999999999999997E-4</v>
      </c>
      <c r="S31" s="129">
        <v>0.42799999999999999</v>
      </c>
      <c r="T31" s="129">
        <v>2.0999999999999999E-3</v>
      </c>
      <c r="U31" s="129">
        <v>0.41699999999999998</v>
      </c>
      <c r="V31" s="129">
        <v>0.55200000000000005</v>
      </c>
      <c r="W31" s="129">
        <v>0.15</v>
      </c>
      <c r="X31" s="129"/>
      <c r="Y31" s="129">
        <v>0.47599999999999998</v>
      </c>
      <c r="Z31" s="129">
        <v>4.0152000000000001</v>
      </c>
      <c r="AA31" s="130">
        <f t="shared" si="6"/>
        <v>46.859083191850601</v>
      </c>
      <c r="AB31" s="130">
        <f t="shared" si="7"/>
        <v>40.407470288624786</v>
      </c>
      <c r="AC31" s="130">
        <f t="shared" si="8"/>
        <v>12.733446519524618</v>
      </c>
      <c r="AD31" s="130">
        <f t="shared" si="5"/>
        <v>0.76038338658146964</v>
      </c>
    </row>
    <row r="32" spans="1:30" ht="17" x14ac:dyDescent="0.2">
      <c r="A32" s="122" t="s">
        <v>306</v>
      </c>
      <c r="B32" s="125">
        <v>1737.598806760426</v>
      </c>
      <c r="C32" s="125">
        <v>-206.7873303662434</v>
      </c>
      <c r="D32" s="128">
        <v>0.1363</v>
      </c>
      <c r="E32" s="128">
        <v>55.43</v>
      </c>
      <c r="F32" s="128">
        <v>0</v>
      </c>
      <c r="G32" s="128">
        <v>7.0000000000000001E-3</v>
      </c>
      <c r="H32" s="128">
        <v>6.07</v>
      </c>
      <c r="I32" s="128">
        <v>5.67E-2</v>
      </c>
      <c r="J32" s="128">
        <v>10.19</v>
      </c>
      <c r="K32" s="128">
        <v>14.18</v>
      </c>
      <c r="L32" s="128">
        <v>4.97</v>
      </c>
      <c r="M32" s="128">
        <v>8.57</v>
      </c>
      <c r="N32" s="128">
        <v>99.610100000000003</v>
      </c>
      <c r="O32" s="129">
        <v>3.7000000000000002E-3</v>
      </c>
      <c r="P32" s="129">
        <v>1.99</v>
      </c>
      <c r="Q32" s="129">
        <v>0</v>
      </c>
      <c r="R32" s="129">
        <v>2.0000000000000001E-4</v>
      </c>
      <c r="S32" s="129">
        <v>0.42199999999999999</v>
      </c>
      <c r="T32" s="129">
        <v>1.6000000000000001E-3</v>
      </c>
      <c r="U32" s="129">
        <v>0.43099999999999999</v>
      </c>
      <c r="V32" s="129">
        <v>0.54500000000000004</v>
      </c>
      <c r="W32" s="129">
        <v>0.14899999999999999</v>
      </c>
      <c r="X32" s="129"/>
      <c r="Y32" s="129">
        <v>0.45900000000000002</v>
      </c>
      <c r="Z32" s="129">
        <v>4.0015999999999998</v>
      </c>
      <c r="AA32" s="130">
        <f t="shared" si="6"/>
        <v>47.267996530789247</v>
      </c>
      <c r="AB32" s="130">
        <f t="shared" si="7"/>
        <v>39.809193408499567</v>
      </c>
      <c r="AC32" s="130">
        <f t="shared" si="8"/>
        <v>12.922810060711187</v>
      </c>
      <c r="AD32" s="130">
        <f t="shared" si="5"/>
        <v>0.75493421052631582</v>
      </c>
    </row>
    <row r="33" spans="1:30" ht="17" x14ac:dyDescent="0.2">
      <c r="A33" s="122" t="s">
        <v>307</v>
      </c>
      <c r="B33" s="125">
        <v>1944.3861371266694</v>
      </c>
      <c r="C33" s="125">
        <v>0</v>
      </c>
      <c r="D33" s="128">
        <v>0.13980000000000001</v>
      </c>
      <c r="E33" s="128">
        <v>55.32</v>
      </c>
      <c r="F33" s="128">
        <v>0</v>
      </c>
      <c r="G33" s="128">
        <v>8.9999999999999993E-3</v>
      </c>
      <c r="H33" s="128">
        <v>6.2</v>
      </c>
      <c r="I33" s="128">
        <v>7.4700000000000003E-2</v>
      </c>
      <c r="J33" s="128">
        <v>10.28</v>
      </c>
      <c r="K33" s="128">
        <v>14.28</v>
      </c>
      <c r="L33" s="128">
        <v>5.04</v>
      </c>
      <c r="M33" s="128">
        <v>8.61</v>
      </c>
      <c r="N33" s="128">
        <v>99.953599999999994</v>
      </c>
      <c r="O33" s="129">
        <v>3.8E-3</v>
      </c>
      <c r="P33" s="129">
        <v>1.982</v>
      </c>
      <c r="Q33" s="129">
        <v>0</v>
      </c>
      <c r="R33" s="129">
        <v>2.9999999999999997E-4</v>
      </c>
      <c r="S33" s="129">
        <v>0.43</v>
      </c>
      <c r="T33" s="129">
        <v>2.0999999999999999E-3</v>
      </c>
      <c r="U33" s="129">
        <v>0.434</v>
      </c>
      <c r="V33" s="129">
        <v>0.54800000000000004</v>
      </c>
      <c r="W33" s="129">
        <v>0.151</v>
      </c>
      <c r="X33" s="129"/>
      <c r="Y33" s="129">
        <v>0.46</v>
      </c>
      <c r="Z33" s="129">
        <v>4.0113000000000003</v>
      </c>
      <c r="AA33" s="130">
        <f t="shared" si="6"/>
        <v>47.282139775668682</v>
      </c>
      <c r="AB33" s="130">
        <f t="shared" si="7"/>
        <v>39.689387402933562</v>
      </c>
      <c r="AC33" s="130">
        <f t="shared" si="8"/>
        <v>13.028472821397756</v>
      </c>
      <c r="AD33" s="130">
        <f t="shared" si="5"/>
        <v>0.7528641571194763</v>
      </c>
    </row>
    <row r="34" spans="1:30" x14ac:dyDescent="0.2">
      <c r="A34" s="122"/>
      <c r="B34" s="125"/>
      <c r="C34" s="125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30"/>
      <c r="AB34" s="130"/>
      <c r="AC34" s="130"/>
      <c r="AD34" s="130"/>
    </row>
    <row r="35" spans="1:30" ht="17" x14ac:dyDescent="0.2">
      <c r="A35" s="119" t="s">
        <v>308</v>
      </c>
      <c r="B35" s="125"/>
      <c r="C35" s="125"/>
      <c r="D35" s="131">
        <f>AVERAGE(D24:D33)</f>
        <v>0.13002</v>
      </c>
      <c r="E35" s="131">
        <f t="shared" ref="E35:AD35" si="9">AVERAGE(E24:E33)</f>
        <v>55.133000000000003</v>
      </c>
      <c r="F35" s="131">
        <f t="shared" si="9"/>
        <v>2.9999999999999997E-5</v>
      </c>
      <c r="G35" s="131">
        <f t="shared" si="9"/>
        <v>1.21E-2</v>
      </c>
      <c r="H35" s="131">
        <f t="shared" si="9"/>
        <v>6.1220000000000008</v>
      </c>
      <c r="I35" s="131">
        <f t="shared" si="9"/>
        <v>6.8269999999999997E-2</v>
      </c>
      <c r="J35" s="131">
        <f t="shared" si="9"/>
        <v>10.125999999999999</v>
      </c>
      <c r="K35" s="131">
        <f t="shared" si="9"/>
        <v>14.279</v>
      </c>
      <c r="L35" s="131">
        <f t="shared" si="9"/>
        <v>4.9809999999999999</v>
      </c>
      <c r="M35" s="131">
        <f t="shared" si="9"/>
        <v>8.8490000000000002</v>
      </c>
      <c r="N35" s="131">
        <f t="shared" si="9"/>
        <v>99.700459999999993</v>
      </c>
      <c r="O35" s="131">
        <f t="shared" si="9"/>
        <v>3.5199999999999997E-3</v>
      </c>
      <c r="P35" s="131">
        <f t="shared" si="9"/>
        <v>1.9802999999999997</v>
      </c>
      <c r="Q35" s="131">
        <f t="shared" si="9"/>
        <v>0</v>
      </c>
      <c r="R35" s="131">
        <f t="shared" si="9"/>
        <v>3.6999999999999999E-4</v>
      </c>
      <c r="S35" s="131">
        <f t="shared" si="9"/>
        <v>0.42619999999999997</v>
      </c>
      <c r="T35" s="131">
        <f t="shared" si="9"/>
        <v>1.9300000000000001E-3</v>
      </c>
      <c r="U35" s="131">
        <f t="shared" si="9"/>
        <v>0.42879999999999996</v>
      </c>
      <c r="V35" s="131">
        <f t="shared" si="9"/>
        <v>0.54949999999999999</v>
      </c>
      <c r="W35" s="131">
        <f t="shared" si="9"/>
        <v>0.1497</v>
      </c>
      <c r="X35" s="131"/>
      <c r="Y35" s="131">
        <f t="shared" si="9"/>
        <v>0.47359999999999991</v>
      </c>
      <c r="Z35" s="131">
        <f t="shared" si="9"/>
        <v>4.0139599999999991</v>
      </c>
      <c r="AA35" s="131">
        <f t="shared" si="9"/>
        <v>46.855793584509563</v>
      </c>
      <c r="AB35" s="131">
        <f t="shared" si="9"/>
        <v>40.378605120444014</v>
      </c>
      <c r="AC35" s="131">
        <f t="shared" si="9"/>
        <v>12.765601295046411</v>
      </c>
      <c r="AD35" s="131">
        <f t="shared" si="9"/>
        <v>0.75977764816858639</v>
      </c>
    </row>
    <row r="36" spans="1:30" x14ac:dyDescent="0.2">
      <c r="B36" s="125"/>
      <c r="C36" s="125"/>
      <c r="D36" s="131"/>
      <c r="E36" s="131"/>
      <c r="F36" s="131"/>
      <c r="G36" s="131"/>
      <c r="H36" s="131"/>
      <c r="I36" s="131"/>
      <c r="J36" s="131"/>
      <c r="K36" s="131"/>
      <c r="L36" s="131"/>
      <c r="M36" s="131"/>
      <c r="N36" s="131"/>
      <c r="O36" s="131"/>
      <c r="P36" s="131"/>
      <c r="Q36" s="131"/>
      <c r="R36" s="131"/>
      <c r="S36" s="131"/>
      <c r="T36" s="131"/>
      <c r="U36" s="131"/>
      <c r="V36" s="131"/>
      <c r="W36" s="131"/>
      <c r="X36" s="131"/>
      <c r="Y36" s="131"/>
      <c r="Z36" s="131"/>
      <c r="AA36" s="131"/>
      <c r="AB36" s="131"/>
      <c r="AC36" s="131"/>
      <c r="AD36" s="131"/>
    </row>
    <row r="37" spans="1:30" ht="17" x14ac:dyDescent="0.2">
      <c r="A37" s="77" t="s">
        <v>309</v>
      </c>
      <c r="B37" s="125">
        <v>0</v>
      </c>
      <c r="C37" s="125">
        <v>-210.45671349251506</v>
      </c>
      <c r="D37" s="132">
        <v>0.21479999999999999</v>
      </c>
      <c r="E37" s="132">
        <v>54.26</v>
      </c>
      <c r="F37" s="132">
        <v>1.5E-3</v>
      </c>
      <c r="G37" s="132">
        <v>3.0099999999999998E-2</v>
      </c>
      <c r="H37" s="132">
        <v>6.19</v>
      </c>
      <c r="I37" s="132">
        <v>4.3E-3</v>
      </c>
      <c r="J37" s="132">
        <v>10.38</v>
      </c>
      <c r="K37" s="132">
        <v>13.85</v>
      </c>
      <c r="L37" s="132">
        <v>6.15</v>
      </c>
      <c r="M37" s="132">
        <v>8.3699999999999992</v>
      </c>
      <c r="N37" s="132">
        <v>99.450800000000001</v>
      </c>
      <c r="O37" s="77">
        <v>5.8999999999999999E-3</v>
      </c>
      <c r="P37" s="77">
        <v>1.9650000000000001</v>
      </c>
      <c r="Q37" s="77">
        <v>1E-4</v>
      </c>
      <c r="R37" s="77">
        <v>8.9999999999999998E-4</v>
      </c>
      <c r="S37" s="77">
        <v>0.434</v>
      </c>
      <c r="T37" s="77">
        <v>1E-4</v>
      </c>
      <c r="U37" s="77">
        <v>0.443</v>
      </c>
      <c r="V37" s="77">
        <v>0.53800000000000003</v>
      </c>
      <c r="W37" s="77">
        <v>0.186</v>
      </c>
      <c r="Y37" s="77">
        <v>0.45200000000000001</v>
      </c>
      <c r="Z37" s="77">
        <v>4.0251000000000001</v>
      </c>
      <c r="AA37" s="130">
        <f t="shared" ref="AA37:AA46" si="10">100*V37/(V37+Y37+W37)</f>
        <v>45.748299319727899</v>
      </c>
      <c r="AB37" s="130">
        <f t="shared" ref="AB37:AB46" si="11">100*Y37/(V37+Y37+W37)</f>
        <v>38.435374149659872</v>
      </c>
      <c r="AC37" s="130">
        <f t="shared" ref="AC37:AC46" si="12">100*W37/(V37+Y37+W37)</f>
        <v>15.816326530612248</v>
      </c>
      <c r="AD37" s="130">
        <f t="shared" ref="AD37:AD46" si="13">Y37/(Y37+W37)</f>
        <v>0.70846394984326022</v>
      </c>
    </row>
    <row r="38" spans="1:30" ht="17" x14ac:dyDescent="0.2">
      <c r="A38" s="77" t="s">
        <v>310</v>
      </c>
      <c r="B38" s="125">
        <v>23.08679276123614</v>
      </c>
      <c r="C38" s="125">
        <v>-187.36992073127894</v>
      </c>
      <c r="D38" s="132">
        <v>0.1953</v>
      </c>
      <c r="E38" s="132">
        <v>54.38</v>
      </c>
      <c r="F38" s="132">
        <v>0</v>
      </c>
      <c r="G38" s="132">
        <v>3.3599999999999998E-2</v>
      </c>
      <c r="H38" s="132">
        <v>6.21</v>
      </c>
      <c r="I38" s="132">
        <v>2.87E-2</v>
      </c>
      <c r="J38" s="132">
        <v>10.42</v>
      </c>
      <c r="K38" s="132">
        <v>13.82</v>
      </c>
      <c r="L38" s="132">
        <v>6.18</v>
      </c>
      <c r="M38" s="132">
        <v>8.43</v>
      </c>
      <c r="N38" s="132">
        <v>99.697699999999998</v>
      </c>
      <c r="O38" s="77">
        <v>5.3E-3</v>
      </c>
      <c r="P38" s="77">
        <v>1.964</v>
      </c>
      <c r="Q38" s="77">
        <v>0</v>
      </c>
      <c r="R38" s="77">
        <v>1E-3</v>
      </c>
      <c r="S38" s="77">
        <v>0.435</v>
      </c>
      <c r="T38" s="77">
        <v>8.0000000000000004E-4</v>
      </c>
      <c r="U38" s="77">
        <v>0.44400000000000001</v>
      </c>
      <c r="V38" s="77">
        <v>0.53500000000000003</v>
      </c>
      <c r="W38" s="77">
        <v>0.187</v>
      </c>
      <c r="Y38" s="77">
        <v>0.45400000000000001</v>
      </c>
      <c r="Z38" s="77">
        <v>4.0262000000000002</v>
      </c>
      <c r="AA38" s="130">
        <f t="shared" si="10"/>
        <v>45.493197278911559</v>
      </c>
      <c r="AB38" s="130">
        <f t="shared" si="11"/>
        <v>38.605442176870739</v>
      </c>
      <c r="AC38" s="130">
        <f t="shared" si="12"/>
        <v>15.901360544217685</v>
      </c>
      <c r="AD38" s="130">
        <f t="shared" si="13"/>
        <v>0.70826833073322937</v>
      </c>
    </row>
    <row r="39" spans="1:30" ht="17" x14ac:dyDescent="0.2">
      <c r="A39" s="77" t="s">
        <v>311</v>
      </c>
      <c r="B39" s="125">
        <v>46.856521409240983</v>
      </c>
      <c r="C39" s="125">
        <v>-163.6001920832741</v>
      </c>
      <c r="D39" s="132">
        <v>0.16750000000000001</v>
      </c>
      <c r="E39" s="132">
        <v>54.41</v>
      </c>
      <c r="F39" s="132">
        <v>0</v>
      </c>
      <c r="G39" s="132">
        <v>2.46E-2</v>
      </c>
      <c r="H39" s="132">
        <v>6.27</v>
      </c>
      <c r="I39" s="132">
        <v>1.4999999999999999E-2</v>
      </c>
      <c r="J39" s="132">
        <v>10.41</v>
      </c>
      <c r="K39" s="132">
        <v>13.94</v>
      </c>
      <c r="L39" s="132">
        <v>6.22</v>
      </c>
      <c r="M39" s="132">
        <v>8.48</v>
      </c>
      <c r="N39" s="132">
        <v>99.937200000000004</v>
      </c>
      <c r="O39" s="77">
        <v>4.4999999999999997E-3</v>
      </c>
      <c r="P39" s="77">
        <v>1.962</v>
      </c>
      <c r="Q39" s="77">
        <v>0</v>
      </c>
      <c r="R39" s="77">
        <v>8.0000000000000004E-4</v>
      </c>
      <c r="S39" s="77">
        <v>0.438</v>
      </c>
      <c r="T39" s="77">
        <v>4.0000000000000002E-4</v>
      </c>
      <c r="U39" s="77">
        <v>0.442</v>
      </c>
      <c r="V39" s="77">
        <v>0.53900000000000003</v>
      </c>
      <c r="W39" s="77">
        <v>0.188</v>
      </c>
      <c r="Y39" s="77">
        <v>0.45600000000000002</v>
      </c>
      <c r="Z39" s="77">
        <v>4.0308000000000002</v>
      </c>
      <c r="AA39" s="130">
        <f t="shared" si="10"/>
        <v>45.562130177514796</v>
      </c>
      <c r="AB39" s="130">
        <f t="shared" si="11"/>
        <v>38.546069315300088</v>
      </c>
      <c r="AC39" s="130">
        <f t="shared" si="12"/>
        <v>15.891800507185122</v>
      </c>
      <c r="AD39" s="130">
        <f t="shared" si="13"/>
        <v>0.70807453416149069</v>
      </c>
    </row>
    <row r="40" spans="1:30" ht="17" x14ac:dyDescent="0.2">
      <c r="A40" s="77" t="s">
        <v>312</v>
      </c>
      <c r="B40" s="125">
        <v>69.660029911229174</v>
      </c>
      <c r="C40" s="125">
        <v>-140.79668358128589</v>
      </c>
      <c r="D40" s="132">
        <v>0.21360000000000001</v>
      </c>
      <c r="E40" s="132">
        <v>54.35</v>
      </c>
      <c r="F40" s="132">
        <v>3.8999999999999998E-3</v>
      </c>
      <c r="G40" s="132">
        <v>4.2700000000000002E-2</v>
      </c>
      <c r="H40" s="132">
        <v>6.08</v>
      </c>
      <c r="I40" s="132">
        <v>2.3900000000000001E-2</v>
      </c>
      <c r="J40" s="132">
        <v>10.46</v>
      </c>
      <c r="K40" s="132">
        <v>13.96</v>
      </c>
      <c r="L40" s="132">
        <v>6.18</v>
      </c>
      <c r="M40" s="132">
        <v>8.43</v>
      </c>
      <c r="N40" s="132">
        <v>99.744200000000006</v>
      </c>
      <c r="O40" s="77">
        <v>5.7999999999999996E-3</v>
      </c>
      <c r="P40" s="77">
        <v>1.9630000000000001</v>
      </c>
      <c r="Q40" s="77">
        <v>2.0000000000000001E-4</v>
      </c>
      <c r="R40" s="77">
        <v>1.2999999999999999E-3</v>
      </c>
      <c r="S40" s="77">
        <v>0.42499999999999999</v>
      </c>
      <c r="T40" s="77">
        <v>6.9999999999999999E-4</v>
      </c>
      <c r="U40" s="77">
        <v>0.44500000000000001</v>
      </c>
      <c r="V40" s="77">
        <v>0.54</v>
      </c>
      <c r="W40" s="77">
        <v>0.187</v>
      </c>
      <c r="Y40" s="77">
        <v>0.45400000000000001</v>
      </c>
      <c r="Z40" s="77">
        <v>4.0221</v>
      </c>
      <c r="AA40" s="130">
        <f t="shared" si="10"/>
        <v>45.72396274343776</v>
      </c>
      <c r="AB40" s="130">
        <f t="shared" si="11"/>
        <v>38.441998306519892</v>
      </c>
      <c r="AC40" s="130">
        <f t="shared" si="12"/>
        <v>15.834038950042336</v>
      </c>
      <c r="AD40" s="130">
        <f t="shared" si="13"/>
        <v>0.70826833073322937</v>
      </c>
    </row>
    <row r="41" spans="1:30" ht="17" x14ac:dyDescent="0.2">
      <c r="A41" s="77" t="s">
        <v>313</v>
      </c>
      <c r="B41" s="125">
        <v>93.701660471568516</v>
      </c>
      <c r="C41" s="125">
        <v>-116.75505302094656</v>
      </c>
      <c r="D41" s="132">
        <v>0.2077</v>
      </c>
      <c r="E41" s="132">
        <v>54.36</v>
      </c>
      <c r="F41" s="132">
        <v>0</v>
      </c>
      <c r="G41" s="132">
        <v>2.41E-2</v>
      </c>
      <c r="H41" s="132">
        <v>5.94</v>
      </c>
      <c r="I41" s="132">
        <v>3.5299999999999998E-2</v>
      </c>
      <c r="J41" s="132">
        <v>10.35</v>
      </c>
      <c r="K41" s="132">
        <v>13.95</v>
      </c>
      <c r="L41" s="132">
        <v>6.23</v>
      </c>
      <c r="M41" s="132">
        <v>8.52</v>
      </c>
      <c r="N41" s="132">
        <v>99.617099999999994</v>
      </c>
      <c r="O41" s="77">
        <v>5.5999999999999999E-3</v>
      </c>
      <c r="P41" s="77">
        <v>1.9650000000000001</v>
      </c>
      <c r="Q41" s="77">
        <v>0</v>
      </c>
      <c r="R41" s="77">
        <v>6.9999999999999999E-4</v>
      </c>
      <c r="S41" s="77">
        <v>0.41599999999999998</v>
      </c>
      <c r="T41" s="77">
        <v>1E-3</v>
      </c>
      <c r="U41" s="77">
        <v>0.441</v>
      </c>
      <c r="V41" s="77">
        <v>0.54</v>
      </c>
      <c r="W41" s="77">
        <v>0.188</v>
      </c>
      <c r="Y41" s="77">
        <v>0.45900000000000002</v>
      </c>
      <c r="Z41" s="77">
        <v>4.0163000000000002</v>
      </c>
      <c r="AA41" s="130">
        <f t="shared" si="10"/>
        <v>45.492839090143214</v>
      </c>
      <c r="AB41" s="130">
        <f t="shared" si="11"/>
        <v>38.668913226621733</v>
      </c>
      <c r="AC41" s="130">
        <f t="shared" si="12"/>
        <v>15.838247683235046</v>
      </c>
      <c r="AD41" s="130">
        <f t="shared" si="13"/>
        <v>0.7094281298299846</v>
      </c>
    </row>
    <row r="42" spans="1:30" ht="17" x14ac:dyDescent="0.2">
      <c r="A42" s="77" t="s">
        <v>314</v>
      </c>
      <c r="B42" s="125">
        <v>116.50516897355671</v>
      </c>
      <c r="C42" s="125">
        <v>-93.951544518958372</v>
      </c>
      <c r="D42" s="132">
        <v>0.18809999999999999</v>
      </c>
      <c r="E42" s="132">
        <v>54.22</v>
      </c>
      <c r="F42" s="132">
        <v>5.9999999999999995E-4</v>
      </c>
      <c r="G42" s="132">
        <v>3.4599999999999999E-2</v>
      </c>
      <c r="H42" s="132">
        <v>6.29</v>
      </c>
      <c r="I42" s="132">
        <v>5.91E-2</v>
      </c>
      <c r="J42" s="132">
        <v>10.3</v>
      </c>
      <c r="K42" s="132">
        <v>13.94</v>
      </c>
      <c r="L42" s="132">
        <v>6.17</v>
      </c>
      <c r="M42" s="132">
        <v>8.41</v>
      </c>
      <c r="N42" s="132">
        <v>99.612399999999994</v>
      </c>
      <c r="O42" s="77">
        <v>5.1000000000000004E-3</v>
      </c>
      <c r="P42" s="77">
        <v>1.9630000000000001</v>
      </c>
      <c r="Q42" s="77">
        <v>0</v>
      </c>
      <c r="R42" s="77">
        <v>1.1000000000000001E-3</v>
      </c>
      <c r="S42" s="77">
        <v>0.441</v>
      </c>
      <c r="T42" s="77">
        <v>1.6999999999999999E-3</v>
      </c>
      <c r="U42" s="77">
        <v>0.439</v>
      </c>
      <c r="V42" s="77">
        <v>0.54100000000000004</v>
      </c>
      <c r="W42" s="77">
        <v>0.187</v>
      </c>
      <c r="Y42" s="77">
        <v>0.45400000000000001</v>
      </c>
      <c r="Z42" s="77">
        <v>4.0328999999999997</v>
      </c>
      <c r="AA42" s="130">
        <f t="shared" si="10"/>
        <v>45.769881556683579</v>
      </c>
      <c r="AB42" s="130">
        <f t="shared" si="11"/>
        <v>38.409475465313022</v>
      </c>
      <c r="AC42" s="130">
        <f t="shared" si="12"/>
        <v>15.820642978003381</v>
      </c>
      <c r="AD42" s="130">
        <f t="shared" si="13"/>
        <v>0.70826833073322937</v>
      </c>
    </row>
    <row r="43" spans="1:30" ht="34" x14ac:dyDescent="0.2">
      <c r="A43" s="77" t="s">
        <v>315</v>
      </c>
      <c r="B43" s="125">
        <v>137.60019208328637</v>
      </c>
      <c r="C43" s="125">
        <v>-72.856521409228691</v>
      </c>
      <c r="D43" s="132">
        <v>0.23930000000000001</v>
      </c>
      <c r="E43" s="132">
        <v>54.2</v>
      </c>
      <c r="F43" s="132">
        <v>0</v>
      </c>
      <c r="G43" s="132">
        <v>3.3099999999999997E-2</v>
      </c>
      <c r="H43" s="132">
        <v>6.04</v>
      </c>
      <c r="I43" s="132">
        <v>2.9899999999999999E-2</v>
      </c>
      <c r="J43" s="132">
        <v>10.46</v>
      </c>
      <c r="K43" s="132">
        <v>13.93</v>
      </c>
      <c r="L43" s="132">
        <v>6.27</v>
      </c>
      <c r="M43" s="132">
        <v>8.5299999999999994</v>
      </c>
      <c r="N43" s="132">
        <v>99.732399999999998</v>
      </c>
      <c r="O43" s="77">
        <v>6.4999999999999997E-3</v>
      </c>
      <c r="P43" s="77">
        <v>1.958</v>
      </c>
      <c r="Q43" s="77">
        <v>0</v>
      </c>
      <c r="R43" s="77">
        <v>1E-3</v>
      </c>
      <c r="S43" s="77">
        <v>0.42299999999999999</v>
      </c>
      <c r="T43" s="77">
        <v>8.9999999999999998E-4</v>
      </c>
      <c r="U43" s="77">
        <v>0.44500000000000001</v>
      </c>
      <c r="V43" s="77">
        <v>0.53900000000000003</v>
      </c>
      <c r="W43" s="77">
        <v>0.189</v>
      </c>
      <c r="Y43" s="77">
        <v>0.45900000000000002</v>
      </c>
      <c r="Z43" s="77">
        <v>4.0214999999999996</v>
      </c>
      <c r="AA43" s="130">
        <f t="shared" si="10"/>
        <v>45.408593091828138</v>
      </c>
      <c r="AB43" s="130">
        <f t="shared" si="11"/>
        <v>38.668913226621733</v>
      </c>
      <c r="AC43" s="130">
        <f t="shared" si="12"/>
        <v>15.922493681550124</v>
      </c>
      <c r="AD43" s="130">
        <f t="shared" si="13"/>
        <v>0.70833333333333337</v>
      </c>
    </row>
    <row r="44" spans="1:30" ht="17" x14ac:dyDescent="0.2">
      <c r="A44" s="77" t="s">
        <v>316</v>
      </c>
      <c r="B44" s="125">
        <v>163.60019208328782</v>
      </c>
      <c r="C44" s="125">
        <v>-46.856521409227256</v>
      </c>
      <c r="D44" s="132">
        <v>0.1888</v>
      </c>
      <c r="E44" s="132">
        <v>54.21</v>
      </c>
      <c r="F44" s="132">
        <v>0</v>
      </c>
      <c r="G44" s="132">
        <v>1.2E-2</v>
      </c>
      <c r="H44" s="132">
        <v>6.24</v>
      </c>
      <c r="I44" s="132">
        <v>2.9899999999999999E-2</v>
      </c>
      <c r="J44" s="132">
        <v>10.47</v>
      </c>
      <c r="K44" s="132">
        <v>14.09</v>
      </c>
      <c r="L44" s="132">
        <v>6.23</v>
      </c>
      <c r="M44" s="132">
        <v>8.56</v>
      </c>
      <c r="N44" s="132">
        <v>100.0307</v>
      </c>
      <c r="O44" s="77">
        <v>5.1000000000000004E-3</v>
      </c>
      <c r="P44" s="77">
        <v>1.9550000000000001</v>
      </c>
      <c r="Q44" s="77">
        <v>0</v>
      </c>
      <c r="R44" s="77">
        <v>4.0000000000000002E-4</v>
      </c>
      <c r="S44" s="77">
        <v>0.436</v>
      </c>
      <c r="T44" s="77">
        <v>8.9999999999999998E-4</v>
      </c>
      <c r="U44" s="77">
        <v>0.44500000000000001</v>
      </c>
      <c r="V44" s="77">
        <v>0.54500000000000004</v>
      </c>
      <c r="W44" s="77">
        <v>0.188</v>
      </c>
      <c r="Y44" s="77">
        <v>0.46</v>
      </c>
      <c r="Z44" s="77">
        <v>4.0354000000000001</v>
      </c>
      <c r="AA44" s="130">
        <f t="shared" si="10"/>
        <v>45.683151718357088</v>
      </c>
      <c r="AB44" s="130">
        <f t="shared" si="11"/>
        <v>38.558256496227997</v>
      </c>
      <c r="AC44" s="130">
        <f t="shared" si="12"/>
        <v>15.75859178541492</v>
      </c>
      <c r="AD44" s="130">
        <f t="shared" si="13"/>
        <v>0.70987654320987659</v>
      </c>
    </row>
    <row r="45" spans="1:30" ht="17" x14ac:dyDescent="0.2">
      <c r="A45" s="77" t="s">
        <v>317</v>
      </c>
      <c r="B45" s="125">
        <v>186.68698484450934</v>
      </c>
      <c r="C45" s="125">
        <v>-23.769728648005742</v>
      </c>
      <c r="D45" s="132">
        <v>0.20949999999999999</v>
      </c>
      <c r="E45" s="132">
        <v>54.1</v>
      </c>
      <c r="F45" s="132">
        <v>0</v>
      </c>
      <c r="G45" s="132">
        <v>4.7199999999999999E-2</v>
      </c>
      <c r="H45" s="132">
        <v>6.18</v>
      </c>
      <c r="I45" s="132">
        <v>2.2100000000000002E-2</v>
      </c>
      <c r="J45" s="132">
        <v>10.33</v>
      </c>
      <c r="K45" s="132">
        <v>14</v>
      </c>
      <c r="L45" s="132">
        <v>6.31</v>
      </c>
      <c r="M45" s="132">
        <v>8.49</v>
      </c>
      <c r="N45" s="132">
        <v>99.688800000000001</v>
      </c>
      <c r="O45" s="77">
        <v>5.7000000000000002E-3</v>
      </c>
      <c r="P45" s="77">
        <v>1.958</v>
      </c>
      <c r="Q45" s="77">
        <v>0</v>
      </c>
      <c r="R45" s="77">
        <v>1.4E-3</v>
      </c>
      <c r="S45" s="77">
        <v>0.434</v>
      </c>
      <c r="T45" s="77">
        <v>5.9999999999999995E-4</v>
      </c>
      <c r="U45" s="77">
        <v>0.441</v>
      </c>
      <c r="V45" s="77">
        <v>0.54300000000000004</v>
      </c>
      <c r="W45" s="77">
        <v>0.191</v>
      </c>
      <c r="Y45" s="77">
        <v>0.45800000000000002</v>
      </c>
      <c r="Z45" s="77">
        <v>4.0327999999999999</v>
      </c>
      <c r="AA45" s="130">
        <f t="shared" si="10"/>
        <v>45.553691275167779</v>
      </c>
      <c r="AB45" s="130">
        <f t="shared" si="11"/>
        <v>38.422818791946305</v>
      </c>
      <c r="AC45" s="130">
        <f t="shared" si="12"/>
        <v>16.023489932885905</v>
      </c>
      <c r="AD45" s="130">
        <f t="shared" si="13"/>
        <v>0.70570107858243447</v>
      </c>
    </row>
    <row r="46" spans="1:30" ht="17" x14ac:dyDescent="0.2">
      <c r="A46" s="77" t="s">
        <v>318</v>
      </c>
      <c r="B46" s="125">
        <v>210.45671349251509</v>
      </c>
      <c r="C46" s="125">
        <v>0</v>
      </c>
      <c r="D46" s="132">
        <v>0.20480000000000001</v>
      </c>
      <c r="E46" s="132">
        <v>53.95</v>
      </c>
      <c r="F46" s="132">
        <v>0</v>
      </c>
      <c r="G46" s="132">
        <v>2.6599999999999999E-2</v>
      </c>
      <c r="H46" s="132">
        <v>6.59</v>
      </c>
      <c r="I46" s="132">
        <v>2.9899999999999999E-2</v>
      </c>
      <c r="J46" s="132">
        <v>10.33</v>
      </c>
      <c r="K46" s="132">
        <v>13.87</v>
      </c>
      <c r="L46" s="132">
        <v>6.66</v>
      </c>
      <c r="M46" s="132">
        <v>8.35</v>
      </c>
      <c r="N46" s="132">
        <v>100.0112</v>
      </c>
      <c r="O46" s="77">
        <v>5.5999999999999999E-3</v>
      </c>
      <c r="P46" s="77">
        <v>1.9530000000000001</v>
      </c>
      <c r="Q46" s="77">
        <v>0</v>
      </c>
      <c r="R46" s="77">
        <v>8.0000000000000004E-4</v>
      </c>
      <c r="S46" s="77">
        <v>0.46200000000000002</v>
      </c>
      <c r="T46" s="77">
        <v>8.9999999999999998E-4</v>
      </c>
      <c r="U46" s="77">
        <v>0.441</v>
      </c>
      <c r="V46" s="77">
        <v>0.53800000000000003</v>
      </c>
      <c r="W46" s="77">
        <v>0.20200000000000001</v>
      </c>
      <c r="Y46" s="77">
        <v>0.45</v>
      </c>
      <c r="Z46" s="77">
        <v>4.0533000000000001</v>
      </c>
      <c r="AA46" s="130">
        <f t="shared" si="10"/>
        <v>45.210084033613448</v>
      </c>
      <c r="AB46" s="130">
        <f t="shared" si="11"/>
        <v>37.815126050420169</v>
      </c>
      <c r="AC46" s="130">
        <f t="shared" si="12"/>
        <v>16.97478991596639</v>
      </c>
      <c r="AD46" s="130">
        <f t="shared" si="13"/>
        <v>0.69018404907975461</v>
      </c>
    </row>
    <row r="47" spans="1:30" x14ac:dyDescent="0.2">
      <c r="A47" s="77"/>
      <c r="B47" s="125"/>
      <c r="C47" s="125"/>
      <c r="D47" s="132"/>
      <c r="E47" s="132"/>
      <c r="F47" s="132"/>
      <c r="G47" s="132"/>
      <c r="H47" s="132"/>
      <c r="I47" s="132"/>
      <c r="J47" s="132"/>
      <c r="K47" s="132"/>
      <c r="L47" s="132"/>
      <c r="M47" s="132"/>
      <c r="N47" s="132"/>
      <c r="O47" s="77"/>
      <c r="P47" s="77"/>
      <c r="Q47" s="77"/>
      <c r="R47" s="77"/>
      <c r="S47" s="77"/>
      <c r="T47" s="77"/>
      <c r="U47" s="77"/>
      <c r="V47" s="77"/>
      <c r="W47" s="77"/>
      <c r="Y47" s="77"/>
      <c r="Z47" s="77"/>
      <c r="AA47" s="130"/>
      <c r="AB47" s="130"/>
      <c r="AC47" s="130"/>
      <c r="AD47" s="130"/>
    </row>
    <row r="48" spans="1:30" ht="17" x14ac:dyDescent="0.2">
      <c r="A48" s="119" t="s">
        <v>198</v>
      </c>
      <c r="B48" s="125"/>
      <c r="C48" s="125"/>
      <c r="D48" s="131">
        <f>AVERAGE(D37:D46)</f>
        <v>0.20294000000000004</v>
      </c>
      <c r="E48" s="131">
        <f t="shared" ref="E48:AD48" si="14">AVERAGE(E37:E46)</f>
        <v>54.244000000000007</v>
      </c>
      <c r="F48" s="131">
        <f t="shared" si="14"/>
        <v>6.0000000000000006E-4</v>
      </c>
      <c r="G48" s="131">
        <f t="shared" si="14"/>
        <v>3.0860000000000005E-2</v>
      </c>
      <c r="H48" s="131">
        <f t="shared" si="14"/>
        <v>6.2030000000000003</v>
      </c>
      <c r="I48" s="131">
        <f t="shared" si="14"/>
        <v>2.7810000000000001E-2</v>
      </c>
      <c r="J48" s="131">
        <f t="shared" si="14"/>
        <v>10.391</v>
      </c>
      <c r="K48" s="131">
        <f t="shared" si="14"/>
        <v>13.934999999999999</v>
      </c>
      <c r="L48" s="131">
        <f t="shared" si="14"/>
        <v>6.2600000000000007</v>
      </c>
      <c r="M48" s="131">
        <f t="shared" si="14"/>
        <v>8.4569999999999972</v>
      </c>
      <c r="N48" s="131">
        <f t="shared" si="14"/>
        <v>99.752250000000018</v>
      </c>
      <c r="O48" s="131">
        <f t="shared" si="14"/>
        <v>5.5100000000000001E-3</v>
      </c>
      <c r="P48" s="131">
        <f t="shared" si="14"/>
        <v>1.9605999999999999</v>
      </c>
      <c r="Q48" s="131">
        <f t="shared" si="14"/>
        <v>3.0000000000000004E-5</v>
      </c>
      <c r="R48" s="131">
        <f t="shared" si="14"/>
        <v>9.4000000000000008E-4</v>
      </c>
      <c r="S48" s="131">
        <f t="shared" si="14"/>
        <v>0.43440000000000001</v>
      </c>
      <c r="T48" s="131">
        <f t="shared" si="14"/>
        <v>8.0000000000000004E-4</v>
      </c>
      <c r="U48" s="131">
        <f t="shared" si="14"/>
        <v>0.44259999999999994</v>
      </c>
      <c r="V48" s="131">
        <f t="shared" si="14"/>
        <v>0.53980000000000006</v>
      </c>
      <c r="W48" s="131">
        <f t="shared" si="14"/>
        <v>0.1893</v>
      </c>
      <c r="X48" s="131"/>
      <c r="Y48" s="131">
        <f t="shared" si="14"/>
        <v>0.4556</v>
      </c>
      <c r="Z48" s="131">
        <f t="shared" si="14"/>
        <v>4.0296399999999997</v>
      </c>
      <c r="AA48" s="131">
        <f t="shared" si="14"/>
        <v>45.564583028538522</v>
      </c>
      <c r="AB48" s="131">
        <f t="shared" si="14"/>
        <v>38.457238720550166</v>
      </c>
      <c r="AC48" s="131">
        <f t="shared" si="14"/>
        <v>15.978178250911316</v>
      </c>
      <c r="AD48" s="131">
        <f t="shared" si="14"/>
        <v>0.70648666102398228</v>
      </c>
    </row>
    <row r="49" spans="1:30" x14ac:dyDescent="0.2">
      <c r="B49" s="125"/>
      <c r="C49" s="125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</row>
    <row r="50" spans="1:30" ht="17" x14ac:dyDescent="0.2">
      <c r="A50" s="77" t="s">
        <v>319</v>
      </c>
      <c r="B50" s="125">
        <v>0</v>
      </c>
      <c r="C50" s="125">
        <v>-363.64431159259709</v>
      </c>
      <c r="D50" s="132">
        <v>0.246</v>
      </c>
      <c r="E50" s="132">
        <v>54.11</v>
      </c>
      <c r="F50" s="132">
        <v>7.4999999999999997E-3</v>
      </c>
      <c r="G50" s="132">
        <v>4.48E-2</v>
      </c>
      <c r="H50" s="132">
        <v>4.17</v>
      </c>
      <c r="I50" s="132">
        <v>3.0800000000000001E-2</v>
      </c>
      <c r="J50" s="132">
        <v>7.54</v>
      </c>
      <c r="K50" s="132">
        <v>17.63</v>
      </c>
      <c r="L50" s="132">
        <v>4.4800000000000004</v>
      </c>
      <c r="M50" s="132">
        <v>11.2</v>
      </c>
      <c r="N50" s="132">
        <v>99.459199999999996</v>
      </c>
      <c r="O50" s="77">
        <v>6.7000000000000002E-3</v>
      </c>
      <c r="P50" s="77">
        <v>1.9630000000000001</v>
      </c>
      <c r="Q50" s="77">
        <v>2.9999999999999997E-4</v>
      </c>
      <c r="R50" s="77">
        <v>1.4E-3</v>
      </c>
      <c r="S50" s="77">
        <v>0.29399999999999998</v>
      </c>
      <c r="T50" s="77">
        <v>8.9999999999999998E-4</v>
      </c>
      <c r="U50" s="77">
        <v>0.32200000000000001</v>
      </c>
      <c r="V50" s="77">
        <v>0.68500000000000005</v>
      </c>
      <c r="W50" s="77">
        <v>0.13600000000000001</v>
      </c>
      <c r="Y50" s="77">
        <v>0.60599999999999998</v>
      </c>
      <c r="Z50" s="77">
        <v>4.0153999999999996</v>
      </c>
      <c r="AA50" s="130">
        <f t="shared" ref="AA50:AA102" si="15">100*V50/(V50+Y50+W50)</f>
        <v>48.002803083391733</v>
      </c>
      <c r="AB50" s="130">
        <f t="shared" ref="AB50:AB102" si="16">100*Y50/(V50+Y50+W50)</f>
        <v>42.466713384723192</v>
      </c>
      <c r="AC50" s="130">
        <f t="shared" ref="AC50:AC102" si="17">100*W50/(V50+Y50+W50)</f>
        <v>9.5304835318850749</v>
      </c>
      <c r="AD50" s="130">
        <f t="shared" ref="AD50:AD64" si="18">Y50/(Y50+W50)</f>
        <v>0.81671159029649598</v>
      </c>
    </row>
    <row r="51" spans="1:30" ht="17" x14ac:dyDescent="0.2">
      <c r="A51" s="77" t="s">
        <v>320</v>
      </c>
      <c r="B51" s="125">
        <v>24.839484696746045</v>
      </c>
      <c r="C51" s="125">
        <v>-338.80482689585102</v>
      </c>
      <c r="D51" s="132">
        <v>0.18029999999999999</v>
      </c>
      <c r="E51" s="132">
        <v>54.07</v>
      </c>
      <c r="F51" s="132">
        <v>0</v>
      </c>
      <c r="G51" s="132">
        <v>3.4200000000000001E-2</v>
      </c>
      <c r="H51" s="132">
        <v>4.3899999999999997</v>
      </c>
      <c r="I51" s="132">
        <v>0</v>
      </c>
      <c r="J51" s="132">
        <v>8.1300000000000008</v>
      </c>
      <c r="K51" s="132">
        <v>17.04</v>
      </c>
      <c r="L51" s="132">
        <v>4.49</v>
      </c>
      <c r="M51" s="132">
        <v>10.79</v>
      </c>
      <c r="N51" s="132">
        <v>99.124499999999998</v>
      </c>
      <c r="O51" s="77">
        <v>4.8999999999999998E-3</v>
      </c>
      <c r="P51" s="77">
        <v>1.964</v>
      </c>
      <c r="Q51" s="77">
        <v>0</v>
      </c>
      <c r="R51" s="77">
        <v>1.1000000000000001E-3</v>
      </c>
      <c r="S51" s="77">
        <v>0.309</v>
      </c>
      <c r="T51" s="77">
        <v>0</v>
      </c>
      <c r="U51" s="77">
        <v>0.34799999999999998</v>
      </c>
      <c r="V51" s="77">
        <v>0.66300000000000003</v>
      </c>
      <c r="W51" s="77">
        <v>0.13600000000000001</v>
      </c>
      <c r="Y51" s="77">
        <v>0.58399999999999996</v>
      </c>
      <c r="Z51" s="77">
        <v>4.01</v>
      </c>
      <c r="AA51" s="130">
        <f t="shared" si="15"/>
        <v>47.939262472885034</v>
      </c>
      <c r="AB51" s="130">
        <f t="shared" si="16"/>
        <v>42.227042660882141</v>
      </c>
      <c r="AC51" s="130">
        <f t="shared" si="17"/>
        <v>9.833694866232829</v>
      </c>
      <c r="AD51" s="130">
        <f t="shared" si="18"/>
        <v>0.81111111111111112</v>
      </c>
    </row>
    <row r="52" spans="1:30" ht="17" x14ac:dyDescent="0.2">
      <c r="A52" s="77" t="s">
        <v>321</v>
      </c>
      <c r="B52" s="125">
        <v>50.334582264713397</v>
      </c>
      <c r="C52" s="125">
        <v>-313.30972932788364</v>
      </c>
      <c r="D52" s="132">
        <v>0.1608</v>
      </c>
      <c r="E52" s="132">
        <v>53.95</v>
      </c>
      <c r="F52" s="132">
        <v>6.6E-3</v>
      </c>
      <c r="G52" s="132">
        <v>5.4999999999999997E-3</v>
      </c>
      <c r="H52" s="132">
        <v>4.18</v>
      </c>
      <c r="I52" s="132">
        <v>1.2800000000000001E-2</v>
      </c>
      <c r="J52" s="132">
        <v>7.95</v>
      </c>
      <c r="K52" s="132">
        <v>17.260000000000002</v>
      </c>
      <c r="L52" s="132">
        <v>4.55</v>
      </c>
      <c r="M52" s="132">
        <v>10.94</v>
      </c>
      <c r="N52" s="132">
        <v>99.015799999999999</v>
      </c>
      <c r="O52" s="77">
        <v>4.4000000000000003E-3</v>
      </c>
      <c r="P52" s="77">
        <v>1.9630000000000001</v>
      </c>
      <c r="Q52" s="77">
        <v>2.9999999999999997E-4</v>
      </c>
      <c r="R52" s="77">
        <v>2.0000000000000001E-4</v>
      </c>
      <c r="S52" s="77">
        <v>0.29499999999999998</v>
      </c>
      <c r="T52" s="77">
        <v>4.0000000000000002E-4</v>
      </c>
      <c r="U52" s="77">
        <v>0.34100000000000003</v>
      </c>
      <c r="V52" s="77">
        <v>0.67300000000000004</v>
      </c>
      <c r="W52" s="77">
        <v>0.13900000000000001</v>
      </c>
      <c r="Y52" s="77">
        <v>0.59399999999999997</v>
      </c>
      <c r="Z52" s="77">
        <v>4.0103999999999997</v>
      </c>
      <c r="AA52" s="130">
        <f t="shared" si="15"/>
        <v>47.866287339971564</v>
      </c>
      <c r="AB52" s="130">
        <f t="shared" si="16"/>
        <v>42.247510668563301</v>
      </c>
      <c r="AC52" s="130">
        <f t="shared" si="17"/>
        <v>9.8862019914651516</v>
      </c>
      <c r="AD52" s="130">
        <f t="shared" si="18"/>
        <v>0.81036834924965895</v>
      </c>
    </row>
    <row r="53" spans="1:30" ht="17" x14ac:dyDescent="0.2">
      <c r="A53" s="77" t="s">
        <v>322</v>
      </c>
      <c r="B53" s="125">
        <v>75.829679832678096</v>
      </c>
      <c r="C53" s="125">
        <v>-287.81463175991894</v>
      </c>
      <c r="D53" s="132">
        <v>0.36209999999999998</v>
      </c>
      <c r="E53" s="132">
        <v>49.19</v>
      </c>
      <c r="F53" s="132">
        <v>0.19370000000000001</v>
      </c>
      <c r="G53" s="132">
        <v>1.4E-2</v>
      </c>
      <c r="H53" s="132">
        <v>2.58</v>
      </c>
      <c r="I53" s="132">
        <v>8.0000000000000004E-4</v>
      </c>
      <c r="J53" s="132">
        <v>9.9700000000000006</v>
      </c>
      <c r="K53" s="132">
        <v>11.09</v>
      </c>
      <c r="L53" s="132">
        <v>8.7200000000000006</v>
      </c>
      <c r="M53" s="132">
        <v>14.83</v>
      </c>
      <c r="N53" s="132">
        <v>96.950699999999998</v>
      </c>
      <c r="O53" s="77">
        <v>1.0200000000000001E-2</v>
      </c>
      <c r="P53" s="77">
        <v>1.839</v>
      </c>
      <c r="Q53" s="77">
        <v>9.1999999999999998E-3</v>
      </c>
      <c r="R53" s="77">
        <v>4.0000000000000002E-4</v>
      </c>
      <c r="S53" s="77">
        <v>0.187</v>
      </c>
      <c r="T53" s="77">
        <v>0</v>
      </c>
      <c r="U53" s="77">
        <v>0.439</v>
      </c>
      <c r="V53" s="77">
        <v>0.44400000000000001</v>
      </c>
      <c r="W53" s="77">
        <v>0.27300000000000002</v>
      </c>
      <c r="Y53" s="77">
        <v>0.82699999999999996</v>
      </c>
      <c r="Z53" s="77">
        <v>4.0289000000000001</v>
      </c>
      <c r="AA53" s="130">
        <f t="shared" si="15"/>
        <v>28.756476683937823</v>
      </c>
      <c r="AB53" s="130">
        <f t="shared" si="16"/>
        <v>53.562176165803102</v>
      </c>
      <c r="AC53" s="130">
        <f t="shared" si="17"/>
        <v>17.681347150259068</v>
      </c>
      <c r="AD53" s="130">
        <f t="shared" si="18"/>
        <v>0.75181818181818172</v>
      </c>
    </row>
    <row r="54" spans="1:30" ht="17" x14ac:dyDescent="0.2">
      <c r="A54" s="77" t="s">
        <v>323</v>
      </c>
      <c r="B54" s="125">
        <v>101.32477740063807</v>
      </c>
      <c r="C54" s="125">
        <v>-262.31953419195895</v>
      </c>
      <c r="D54" s="132">
        <v>0.1298</v>
      </c>
      <c r="E54" s="132">
        <v>54.04</v>
      </c>
      <c r="F54" s="132">
        <v>2.9999999999999997E-4</v>
      </c>
      <c r="G54" s="132">
        <v>1.01E-2</v>
      </c>
      <c r="H54" s="132">
        <v>4.45</v>
      </c>
      <c r="I54" s="132">
        <v>6.7999999999999996E-3</v>
      </c>
      <c r="J54" s="132">
        <v>7.99</v>
      </c>
      <c r="K54" s="132">
        <v>17.21</v>
      </c>
      <c r="L54" s="132">
        <v>4.62</v>
      </c>
      <c r="M54" s="132">
        <v>10.83</v>
      </c>
      <c r="N54" s="132">
        <v>99.287099999999995</v>
      </c>
      <c r="O54" s="77">
        <v>3.5000000000000001E-3</v>
      </c>
      <c r="P54" s="77">
        <v>1.9630000000000001</v>
      </c>
      <c r="Q54" s="77">
        <v>0</v>
      </c>
      <c r="R54" s="77">
        <v>2.9999999999999997E-4</v>
      </c>
      <c r="S54" s="77">
        <v>0.314</v>
      </c>
      <c r="T54" s="77">
        <v>2.0000000000000001E-4</v>
      </c>
      <c r="U54" s="77">
        <v>0.34200000000000003</v>
      </c>
      <c r="V54" s="77">
        <v>0.67</v>
      </c>
      <c r="W54" s="77">
        <v>0.14000000000000001</v>
      </c>
      <c r="Y54" s="77">
        <v>0.58599999999999997</v>
      </c>
      <c r="Z54" s="77">
        <v>4.0190999999999999</v>
      </c>
      <c r="AA54" s="130">
        <f t="shared" si="15"/>
        <v>47.994269340974213</v>
      </c>
      <c r="AB54" s="130">
        <f t="shared" si="16"/>
        <v>41.977077363896846</v>
      </c>
      <c r="AC54" s="130">
        <f t="shared" si="17"/>
        <v>10.028653295128942</v>
      </c>
      <c r="AD54" s="130">
        <f t="shared" si="18"/>
        <v>0.80716253443526165</v>
      </c>
    </row>
    <row r="55" spans="1:30" ht="17" x14ac:dyDescent="0.2">
      <c r="A55" s="77" t="s">
        <v>324</v>
      </c>
      <c r="B55" s="125">
        <v>126.08361420692053</v>
      </c>
      <c r="C55" s="125">
        <v>-237.56069738567646</v>
      </c>
      <c r="D55" s="132">
        <v>0.14050000000000001</v>
      </c>
      <c r="E55" s="132">
        <v>53.89</v>
      </c>
      <c r="F55" s="132">
        <v>2.7000000000000001E-3</v>
      </c>
      <c r="G55" s="132">
        <v>2.5000000000000001E-3</v>
      </c>
      <c r="H55" s="132">
        <v>4.1399999999999997</v>
      </c>
      <c r="I55" s="132">
        <v>1.9400000000000001E-2</v>
      </c>
      <c r="J55" s="132">
        <v>7.56</v>
      </c>
      <c r="K55" s="132">
        <v>17.510000000000002</v>
      </c>
      <c r="L55" s="132">
        <v>4.58</v>
      </c>
      <c r="M55" s="132">
        <v>11.11</v>
      </c>
      <c r="N55" s="132">
        <v>98.955200000000005</v>
      </c>
      <c r="O55" s="77">
        <v>3.8999999999999998E-3</v>
      </c>
      <c r="P55" s="77">
        <v>1.9650000000000001</v>
      </c>
      <c r="Q55" s="77">
        <v>1E-4</v>
      </c>
      <c r="R55" s="77">
        <v>1E-4</v>
      </c>
      <c r="S55" s="77">
        <v>0.29299999999999998</v>
      </c>
      <c r="T55" s="77">
        <v>5.9999999999999995E-4</v>
      </c>
      <c r="U55" s="77">
        <v>0.32500000000000001</v>
      </c>
      <c r="V55" s="77">
        <v>0.68400000000000005</v>
      </c>
      <c r="W55" s="77">
        <v>0.14000000000000001</v>
      </c>
      <c r="Y55" s="77">
        <v>0.60399999999999998</v>
      </c>
      <c r="Z55" s="77">
        <v>4.0157999999999996</v>
      </c>
      <c r="AA55" s="130">
        <f t="shared" si="15"/>
        <v>47.899159663865554</v>
      </c>
      <c r="AB55" s="130">
        <f t="shared" si="16"/>
        <v>42.296918767507002</v>
      </c>
      <c r="AC55" s="130">
        <f t="shared" si="17"/>
        <v>9.8039215686274535</v>
      </c>
      <c r="AD55" s="130">
        <f t="shared" si="18"/>
        <v>0.81182795698924726</v>
      </c>
    </row>
    <row r="56" spans="1:30" ht="17" x14ac:dyDescent="0.2">
      <c r="A56" s="77" t="s">
        <v>325</v>
      </c>
      <c r="B56" s="125">
        <v>146.96422722474128</v>
      </c>
      <c r="C56" s="125">
        <v>-216.6800843678557</v>
      </c>
      <c r="D56" s="132">
        <v>0.1502</v>
      </c>
      <c r="E56" s="132">
        <v>54.79</v>
      </c>
      <c r="F56" s="132">
        <v>0</v>
      </c>
      <c r="G56" s="132">
        <v>2.1700000000000001E-2</v>
      </c>
      <c r="H56" s="132">
        <v>4.1900000000000004</v>
      </c>
      <c r="I56" s="132">
        <v>6.1999999999999998E-3</v>
      </c>
      <c r="J56" s="132">
        <v>8.31</v>
      </c>
      <c r="K56" s="132">
        <v>17.21</v>
      </c>
      <c r="L56" s="132">
        <v>4.57</v>
      </c>
      <c r="M56" s="132">
        <v>10.5</v>
      </c>
      <c r="N56" s="132">
        <v>99.748199999999997</v>
      </c>
      <c r="O56" s="77">
        <v>4.1000000000000003E-3</v>
      </c>
      <c r="P56" s="77">
        <v>1.974</v>
      </c>
      <c r="Q56" s="77">
        <v>0</v>
      </c>
      <c r="R56" s="77">
        <v>6.9999999999999999E-4</v>
      </c>
      <c r="S56" s="77">
        <v>0.29299999999999998</v>
      </c>
      <c r="T56" s="77">
        <v>2.0000000000000001E-4</v>
      </c>
      <c r="U56" s="77">
        <v>0.35299999999999998</v>
      </c>
      <c r="V56" s="77">
        <v>0.66500000000000004</v>
      </c>
      <c r="W56" s="77">
        <v>0.13800000000000001</v>
      </c>
      <c r="Y56" s="77">
        <v>0.56399999999999995</v>
      </c>
      <c r="Z56" s="77">
        <v>3.9921000000000002</v>
      </c>
      <c r="AA56" s="130">
        <f t="shared" si="15"/>
        <v>48.646671543525969</v>
      </c>
      <c r="AB56" s="130">
        <f t="shared" si="16"/>
        <v>41.258229700073144</v>
      </c>
      <c r="AC56" s="130">
        <f t="shared" si="17"/>
        <v>10.095098756400878</v>
      </c>
      <c r="AD56" s="130">
        <f t="shared" si="18"/>
        <v>0.80341880341880334</v>
      </c>
    </row>
    <row r="57" spans="1:30" ht="17" x14ac:dyDescent="0.2">
      <c r="A57" s="77" t="s">
        <v>326</v>
      </c>
      <c r="B57" s="125">
        <v>193.974864318914</v>
      </c>
      <c r="C57" s="125">
        <v>-169.66944727368298</v>
      </c>
      <c r="D57" s="132">
        <v>0.19600000000000001</v>
      </c>
      <c r="E57" s="132">
        <v>53.91</v>
      </c>
      <c r="F57" s="132">
        <v>5.1000000000000004E-3</v>
      </c>
      <c r="G57" s="132">
        <v>2.46E-2</v>
      </c>
      <c r="H57" s="132">
        <v>4.18</v>
      </c>
      <c r="I57" s="132">
        <v>2.3E-2</v>
      </c>
      <c r="J57" s="132">
        <v>7.47</v>
      </c>
      <c r="K57" s="132">
        <v>17.649999999999999</v>
      </c>
      <c r="L57" s="132">
        <v>4.5999999999999996</v>
      </c>
      <c r="M57" s="132">
        <v>11.18</v>
      </c>
      <c r="N57" s="132">
        <v>99.238799999999998</v>
      </c>
      <c r="O57" s="77">
        <v>5.4000000000000003E-3</v>
      </c>
      <c r="P57" s="77">
        <v>1.962</v>
      </c>
      <c r="Q57" s="77">
        <v>2.0000000000000001E-4</v>
      </c>
      <c r="R57" s="77">
        <v>8.0000000000000004E-4</v>
      </c>
      <c r="S57" s="77">
        <v>0.29499999999999998</v>
      </c>
      <c r="T57" s="77">
        <v>6.9999999999999999E-4</v>
      </c>
      <c r="U57" s="77">
        <v>0.32100000000000001</v>
      </c>
      <c r="V57" s="77">
        <v>0.68799999999999994</v>
      </c>
      <c r="W57" s="77">
        <v>0.14000000000000001</v>
      </c>
      <c r="Y57" s="77">
        <v>0.60599999999999998</v>
      </c>
      <c r="Z57" s="77">
        <v>4.0191999999999997</v>
      </c>
      <c r="AA57" s="130">
        <f t="shared" si="15"/>
        <v>47.977684797768475</v>
      </c>
      <c r="AB57" s="130">
        <f t="shared" si="16"/>
        <v>42.25941422594142</v>
      </c>
      <c r="AC57" s="130">
        <f t="shared" si="17"/>
        <v>9.7629009762900978</v>
      </c>
      <c r="AD57" s="130">
        <f t="shared" si="18"/>
        <v>0.81233243967828417</v>
      </c>
    </row>
    <row r="58" spans="1:30" ht="17" x14ac:dyDescent="0.2">
      <c r="A58" s="77" t="s">
        <v>327</v>
      </c>
      <c r="B58" s="125">
        <v>212.08563459518899</v>
      </c>
      <c r="C58" s="125">
        <v>-151.55867699740799</v>
      </c>
      <c r="D58" s="132">
        <v>0.34599999999999997</v>
      </c>
      <c r="E58" s="132">
        <v>53.85</v>
      </c>
      <c r="F58" s="132">
        <v>8.9999999999999998E-4</v>
      </c>
      <c r="G58" s="132">
        <v>3.2199999999999999E-2</v>
      </c>
      <c r="H58" s="132">
        <v>4.08</v>
      </c>
      <c r="I58" s="132">
        <v>1.7600000000000001E-2</v>
      </c>
      <c r="J58" s="132">
        <v>7.56</v>
      </c>
      <c r="K58" s="132">
        <v>17.66</v>
      </c>
      <c r="L58" s="132">
        <v>4.5599999999999996</v>
      </c>
      <c r="M58" s="132">
        <v>11.21</v>
      </c>
      <c r="N58" s="132">
        <v>99.316699999999997</v>
      </c>
      <c r="O58" s="77">
        <v>9.4999999999999998E-3</v>
      </c>
      <c r="P58" s="77">
        <v>1.958</v>
      </c>
      <c r="Q58" s="77">
        <v>0</v>
      </c>
      <c r="R58" s="77">
        <v>1E-3</v>
      </c>
      <c r="S58" s="77">
        <v>0.28699999999999998</v>
      </c>
      <c r="T58" s="77">
        <v>5.0000000000000001E-4</v>
      </c>
      <c r="U58" s="77">
        <v>0.32400000000000001</v>
      </c>
      <c r="V58" s="77">
        <v>0.68799999999999994</v>
      </c>
      <c r="W58" s="77">
        <v>0.13900000000000001</v>
      </c>
      <c r="Y58" s="77">
        <v>0.60699999999999998</v>
      </c>
      <c r="Z58" s="77">
        <v>4.0141</v>
      </c>
      <c r="AA58" s="130">
        <f t="shared" si="15"/>
        <v>47.977684797768482</v>
      </c>
      <c r="AB58" s="130">
        <f t="shared" si="16"/>
        <v>42.329149232914922</v>
      </c>
      <c r="AC58" s="130">
        <f t="shared" si="17"/>
        <v>9.693165969316599</v>
      </c>
      <c r="AD58" s="130">
        <f t="shared" si="18"/>
        <v>0.81367292225201071</v>
      </c>
    </row>
    <row r="59" spans="1:30" ht="17" x14ac:dyDescent="0.2">
      <c r="A59" s="77" t="s">
        <v>328</v>
      </c>
      <c r="B59" s="125">
        <v>237.5807321631537</v>
      </c>
      <c r="C59" s="125">
        <v>-126.06357942944329</v>
      </c>
      <c r="D59" s="132">
        <v>0.14169999999999999</v>
      </c>
      <c r="E59" s="132">
        <v>53.79</v>
      </c>
      <c r="F59" s="132">
        <v>2.0999999999999999E-3</v>
      </c>
      <c r="G59" s="132">
        <v>1.15E-2</v>
      </c>
      <c r="H59" s="132">
        <v>4.04</v>
      </c>
      <c r="I59" s="132">
        <v>3.7400000000000003E-2</v>
      </c>
      <c r="J59" s="132">
        <v>7.34</v>
      </c>
      <c r="K59" s="132">
        <v>17.75</v>
      </c>
      <c r="L59" s="132">
        <v>4.6399999999999997</v>
      </c>
      <c r="M59" s="132">
        <v>11.33</v>
      </c>
      <c r="N59" s="132">
        <v>99.082800000000006</v>
      </c>
      <c r="O59" s="77">
        <v>3.8999999999999998E-3</v>
      </c>
      <c r="P59" s="77">
        <v>1.962</v>
      </c>
      <c r="Q59" s="77">
        <v>1E-4</v>
      </c>
      <c r="R59" s="77">
        <v>4.0000000000000002E-4</v>
      </c>
      <c r="S59" s="77">
        <v>0.28599999999999998</v>
      </c>
      <c r="T59" s="77">
        <v>1.1000000000000001E-3</v>
      </c>
      <c r="U59" s="77">
        <v>0.316</v>
      </c>
      <c r="V59" s="77">
        <v>0.69299999999999995</v>
      </c>
      <c r="W59" s="77">
        <v>0.14099999999999999</v>
      </c>
      <c r="Y59" s="77">
        <v>0.61599999999999999</v>
      </c>
      <c r="Z59" s="77">
        <v>4.0195999999999996</v>
      </c>
      <c r="AA59" s="130">
        <f t="shared" si="15"/>
        <v>47.793103448275865</v>
      </c>
      <c r="AB59" s="130">
        <f t="shared" si="16"/>
        <v>42.482758620689658</v>
      </c>
      <c r="AC59" s="130">
        <f t="shared" si="17"/>
        <v>9.7241379310344822</v>
      </c>
      <c r="AD59" s="130">
        <f t="shared" si="18"/>
        <v>0.81373844121532368</v>
      </c>
    </row>
    <row r="60" spans="1:30" ht="17" x14ac:dyDescent="0.2">
      <c r="A60" s="77" t="s">
        <v>329</v>
      </c>
      <c r="B60" s="125">
        <v>263.07582973112108</v>
      </c>
      <c r="C60" s="125">
        <v>-100.56848186147595</v>
      </c>
      <c r="D60" s="132">
        <v>0.1125</v>
      </c>
      <c r="E60" s="132">
        <v>54.2</v>
      </c>
      <c r="F60" s="132">
        <v>0</v>
      </c>
      <c r="G60" s="132">
        <v>4.4299999999999999E-2</v>
      </c>
      <c r="H60" s="132">
        <v>4.28</v>
      </c>
      <c r="I60" s="132">
        <v>0.1007</v>
      </c>
      <c r="J60" s="132">
        <v>7.48</v>
      </c>
      <c r="K60" s="132">
        <v>17.28</v>
      </c>
      <c r="L60" s="132">
        <v>4.53</v>
      </c>
      <c r="M60" s="132">
        <v>11.05</v>
      </c>
      <c r="N60" s="132">
        <v>99.077600000000004</v>
      </c>
      <c r="O60" s="77">
        <v>3.0999999999999999E-3</v>
      </c>
      <c r="P60" s="77">
        <v>1.972</v>
      </c>
      <c r="Q60" s="77">
        <v>0</v>
      </c>
      <c r="R60" s="77">
        <v>1.4E-3</v>
      </c>
      <c r="S60" s="77">
        <v>0.30199999999999999</v>
      </c>
      <c r="T60" s="77">
        <v>2.8999999999999998E-3</v>
      </c>
      <c r="U60" s="77">
        <v>0.32100000000000001</v>
      </c>
      <c r="V60" s="77">
        <v>0.67400000000000004</v>
      </c>
      <c r="W60" s="77">
        <v>0.13800000000000001</v>
      </c>
      <c r="Y60" s="77">
        <v>0.6</v>
      </c>
      <c r="Z60" s="77">
        <v>4.0145</v>
      </c>
      <c r="AA60" s="130">
        <f t="shared" si="15"/>
        <v>47.733711048158646</v>
      </c>
      <c r="AB60" s="130">
        <f t="shared" si="16"/>
        <v>42.492917847025495</v>
      </c>
      <c r="AC60" s="130">
        <f t="shared" si="17"/>
        <v>9.7733711048158654</v>
      </c>
      <c r="AD60" s="130">
        <f t="shared" si="18"/>
        <v>0.81300813008130079</v>
      </c>
    </row>
    <row r="61" spans="1:30" ht="17" x14ac:dyDescent="0.2">
      <c r="A61" s="77" t="s">
        <v>330</v>
      </c>
      <c r="B61" s="125">
        <v>288.57092729908106</v>
      </c>
      <c r="C61" s="125">
        <v>-75.073384293515971</v>
      </c>
      <c r="D61" s="132">
        <v>0.14460000000000001</v>
      </c>
      <c r="E61" s="132">
        <v>54.06</v>
      </c>
      <c r="F61" s="132">
        <v>0</v>
      </c>
      <c r="G61" s="132">
        <v>2.9700000000000001E-2</v>
      </c>
      <c r="H61" s="132">
        <v>4.24</v>
      </c>
      <c r="I61" s="132">
        <v>9.6500000000000002E-2</v>
      </c>
      <c r="J61" s="132">
        <v>7.66</v>
      </c>
      <c r="K61" s="132">
        <v>17.34</v>
      </c>
      <c r="L61" s="132">
        <v>4.62</v>
      </c>
      <c r="M61" s="132">
        <v>11.08</v>
      </c>
      <c r="N61" s="132">
        <v>99.270899999999997</v>
      </c>
      <c r="O61" s="77">
        <v>4.0000000000000001E-3</v>
      </c>
      <c r="P61" s="77">
        <v>1.9650000000000001</v>
      </c>
      <c r="Q61" s="77">
        <v>0</v>
      </c>
      <c r="R61" s="77">
        <v>8.9999999999999998E-4</v>
      </c>
      <c r="S61" s="77">
        <v>0.29799999999999999</v>
      </c>
      <c r="T61" s="77">
        <v>2.8E-3</v>
      </c>
      <c r="U61" s="77">
        <v>0.32800000000000001</v>
      </c>
      <c r="V61" s="77">
        <v>0.67500000000000004</v>
      </c>
      <c r="W61" s="77">
        <v>0.14099999999999999</v>
      </c>
      <c r="Y61" s="77">
        <v>0.6</v>
      </c>
      <c r="Z61" s="77">
        <v>4.0148000000000001</v>
      </c>
      <c r="AA61" s="130">
        <f t="shared" si="15"/>
        <v>47.66949152542373</v>
      </c>
      <c r="AB61" s="130">
        <f t="shared" si="16"/>
        <v>42.372881355932208</v>
      </c>
      <c r="AC61" s="130">
        <f t="shared" si="17"/>
        <v>9.9576271186440675</v>
      </c>
      <c r="AD61" s="130">
        <f t="shared" si="18"/>
        <v>0.80971659919028338</v>
      </c>
    </row>
    <row r="62" spans="1:30" ht="17" x14ac:dyDescent="0.2">
      <c r="A62" s="77" t="s">
        <v>331</v>
      </c>
      <c r="B62" s="125">
        <v>314.06602486704844</v>
      </c>
      <c r="C62" s="125">
        <v>-49.578286725548622</v>
      </c>
      <c r="D62" s="132">
        <v>0.13100000000000001</v>
      </c>
      <c r="E62" s="132">
        <v>54.18</v>
      </c>
      <c r="F62" s="132">
        <v>0</v>
      </c>
      <c r="G62" s="132">
        <v>3.27E-2</v>
      </c>
      <c r="H62" s="132">
        <v>4.0199999999999996</v>
      </c>
      <c r="I62" s="132">
        <v>6.4600000000000005E-2</v>
      </c>
      <c r="J62" s="132">
        <v>7.35</v>
      </c>
      <c r="K62" s="132">
        <v>17.59</v>
      </c>
      <c r="L62" s="132">
        <v>4.62</v>
      </c>
      <c r="M62" s="132">
        <v>11.2</v>
      </c>
      <c r="N62" s="132">
        <v>99.188400000000001</v>
      </c>
      <c r="O62" s="77">
        <v>3.5999999999999999E-3</v>
      </c>
      <c r="P62" s="77">
        <v>1.9710000000000001</v>
      </c>
      <c r="Q62" s="77">
        <v>0</v>
      </c>
      <c r="R62" s="77">
        <v>1E-3</v>
      </c>
      <c r="S62" s="77">
        <v>0.28399999999999997</v>
      </c>
      <c r="T62" s="77">
        <v>1.9E-3</v>
      </c>
      <c r="U62" s="77">
        <v>0.315</v>
      </c>
      <c r="V62" s="77">
        <v>0.68600000000000005</v>
      </c>
      <c r="W62" s="77">
        <v>0.14000000000000001</v>
      </c>
      <c r="Y62" s="77">
        <v>0.60699999999999998</v>
      </c>
      <c r="Z62" s="77">
        <v>4.0095999999999998</v>
      </c>
      <c r="AA62" s="130">
        <f t="shared" si="15"/>
        <v>47.871598046057223</v>
      </c>
      <c r="AB62" s="130">
        <f t="shared" si="16"/>
        <v>42.358688066992315</v>
      </c>
      <c r="AC62" s="130">
        <f t="shared" si="17"/>
        <v>9.7697138869504538</v>
      </c>
      <c r="AD62" s="130">
        <f t="shared" si="18"/>
        <v>0.81258366800535475</v>
      </c>
    </row>
    <row r="63" spans="1:30" ht="17" x14ac:dyDescent="0.2">
      <c r="A63" s="77" t="s">
        <v>332</v>
      </c>
      <c r="B63" s="125">
        <v>339.56112243500843</v>
      </c>
      <c r="C63" s="125">
        <v>-24.083189157588652</v>
      </c>
      <c r="D63" s="132">
        <v>0.13950000000000001</v>
      </c>
      <c r="E63" s="132">
        <v>54.28</v>
      </c>
      <c r="F63" s="132">
        <v>0</v>
      </c>
      <c r="G63" s="132">
        <v>2.52E-2</v>
      </c>
      <c r="H63" s="132">
        <v>4.34</v>
      </c>
      <c r="I63" s="132">
        <v>6.1699999999999998E-2</v>
      </c>
      <c r="J63" s="132">
        <v>7.71</v>
      </c>
      <c r="K63" s="132">
        <v>17.48</v>
      </c>
      <c r="L63" s="132">
        <v>4.53</v>
      </c>
      <c r="M63" s="132">
        <v>11.13</v>
      </c>
      <c r="N63" s="132">
        <v>99.696399999999997</v>
      </c>
      <c r="O63" s="77">
        <v>3.8E-3</v>
      </c>
      <c r="P63" s="77">
        <v>1.964</v>
      </c>
      <c r="Q63" s="77">
        <v>0</v>
      </c>
      <c r="R63" s="77">
        <v>8.0000000000000004E-4</v>
      </c>
      <c r="S63" s="77">
        <v>0.30399999999999999</v>
      </c>
      <c r="T63" s="77">
        <v>1.8E-3</v>
      </c>
      <c r="U63" s="77">
        <v>0.32900000000000001</v>
      </c>
      <c r="V63" s="77">
        <v>0.67800000000000005</v>
      </c>
      <c r="W63" s="77">
        <v>0.13700000000000001</v>
      </c>
      <c r="Y63" s="77">
        <v>0.6</v>
      </c>
      <c r="Z63" s="77">
        <v>4.0185000000000004</v>
      </c>
      <c r="AA63" s="130">
        <f t="shared" si="15"/>
        <v>47.915194346289759</v>
      </c>
      <c r="AB63" s="130">
        <f t="shared" si="16"/>
        <v>42.402826855123671</v>
      </c>
      <c r="AC63" s="130">
        <f t="shared" si="17"/>
        <v>9.6819787985865737</v>
      </c>
      <c r="AD63" s="130">
        <f t="shared" si="18"/>
        <v>0.81411126187245586</v>
      </c>
    </row>
    <row r="64" spans="1:30" ht="17" x14ac:dyDescent="0.2">
      <c r="A64" s="77" t="s">
        <v>333</v>
      </c>
      <c r="B64" s="125">
        <v>363.64431159259709</v>
      </c>
      <c r="C64" s="125">
        <v>0</v>
      </c>
      <c r="D64" s="132">
        <v>0.1638</v>
      </c>
      <c r="E64" s="132">
        <v>54.24</v>
      </c>
      <c r="F64" s="132">
        <v>0</v>
      </c>
      <c r="G64" s="132">
        <v>2.81E-2</v>
      </c>
      <c r="H64" s="132">
        <v>4.12</v>
      </c>
      <c r="I64" s="132">
        <v>6.5799999999999997E-2</v>
      </c>
      <c r="J64" s="132">
        <v>7.46</v>
      </c>
      <c r="K64" s="132">
        <v>17.399999999999999</v>
      </c>
      <c r="L64" s="132">
        <v>4.6500000000000004</v>
      </c>
      <c r="M64" s="132">
        <v>11.24</v>
      </c>
      <c r="N64" s="132">
        <v>99.367800000000003</v>
      </c>
      <c r="O64" s="77">
        <v>4.4999999999999997E-3</v>
      </c>
      <c r="P64" s="77">
        <v>1.9690000000000001</v>
      </c>
      <c r="Q64" s="77">
        <v>0</v>
      </c>
      <c r="R64" s="77">
        <v>8.9999999999999998E-4</v>
      </c>
      <c r="S64" s="77">
        <v>0.28999999999999998</v>
      </c>
      <c r="T64" s="77">
        <v>1.9E-3</v>
      </c>
      <c r="U64" s="77">
        <v>0.31900000000000001</v>
      </c>
      <c r="V64" s="77">
        <v>0.67700000000000005</v>
      </c>
      <c r="W64" s="77">
        <v>0.14099999999999999</v>
      </c>
      <c r="Y64" s="77">
        <v>0.60799999999999998</v>
      </c>
      <c r="Z64" s="77">
        <v>4.0114000000000001</v>
      </c>
      <c r="AA64" s="130">
        <f t="shared" si="15"/>
        <v>47.475455820476853</v>
      </c>
      <c r="AB64" s="130">
        <f t="shared" si="16"/>
        <v>42.636746143057493</v>
      </c>
      <c r="AC64" s="130">
        <f t="shared" si="17"/>
        <v>9.8877980364656359</v>
      </c>
      <c r="AD64" s="130">
        <f t="shared" si="18"/>
        <v>0.81174899866488648</v>
      </c>
    </row>
    <row r="65" spans="1:30" x14ac:dyDescent="0.2">
      <c r="B65" s="125"/>
      <c r="C65" s="125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AA65" s="130"/>
      <c r="AB65" s="130"/>
      <c r="AC65" s="130"/>
      <c r="AD65" s="130"/>
    </row>
    <row r="66" spans="1:30" ht="17" x14ac:dyDescent="0.2">
      <c r="A66" s="119" t="s">
        <v>334</v>
      </c>
      <c r="B66" s="125">
        <v>0</v>
      </c>
      <c r="C66" s="125">
        <v>-309.90427290844679</v>
      </c>
      <c r="D66" s="132">
        <v>0.12280000000000001</v>
      </c>
      <c r="E66" s="132">
        <v>53.56</v>
      </c>
      <c r="F66" s="132">
        <v>3.3E-3</v>
      </c>
      <c r="G66" s="132">
        <v>2.7199999999999998E-2</v>
      </c>
      <c r="H66" s="132">
        <v>4.01</v>
      </c>
      <c r="I66" s="132">
        <v>6.7100000000000007E-2</v>
      </c>
      <c r="J66" s="132">
        <v>7.72</v>
      </c>
      <c r="K66" s="132">
        <v>17.46</v>
      </c>
      <c r="L66" s="132">
        <v>4.71</v>
      </c>
      <c r="M66" s="132">
        <v>10.95</v>
      </c>
      <c r="N66" s="132">
        <v>98.630399999999995</v>
      </c>
      <c r="O66" s="77">
        <v>3.3999999999999998E-3</v>
      </c>
      <c r="P66" s="77">
        <v>1.9610000000000001</v>
      </c>
      <c r="Q66" s="77">
        <v>2.0000000000000001E-4</v>
      </c>
      <c r="R66" s="77">
        <v>8.0000000000000004E-4</v>
      </c>
      <c r="S66" s="77">
        <v>0.28399999999999997</v>
      </c>
      <c r="T66" s="77">
        <v>1.9E-3</v>
      </c>
      <c r="U66" s="77">
        <v>0.33300000000000002</v>
      </c>
      <c r="V66" s="77">
        <v>0.68500000000000005</v>
      </c>
      <c r="W66" s="77">
        <v>0.14399999999999999</v>
      </c>
      <c r="Y66" s="77">
        <v>0.59799999999999998</v>
      </c>
      <c r="Z66" s="77">
        <v>4.0113000000000003</v>
      </c>
      <c r="AA66" s="130">
        <f t="shared" si="15"/>
        <v>48.00280308339174</v>
      </c>
      <c r="AB66" s="130">
        <f t="shared" si="16"/>
        <v>41.906096706377021</v>
      </c>
      <c r="AC66" s="130">
        <f t="shared" si="17"/>
        <v>10.091100210231255</v>
      </c>
      <c r="AD66" s="130">
        <f>Y66/(Y66+W66)</f>
        <v>0.80592991913746626</v>
      </c>
    </row>
    <row r="67" spans="1:30" ht="17" x14ac:dyDescent="0.2">
      <c r="A67" s="119" t="s">
        <v>335</v>
      </c>
      <c r="B67" s="125">
        <v>77.929455278474336</v>
      </c>
      <c r="C67" s="125">
        <v>-231.97481762997245</v>
      </c>
      <c r="D67" s="132">
        <v>0.1502</v>
      </c>
      <c r="E67" s="132">
        <v>53.03</v>
      </c>
      <c r="F67" s="132">
        <v>7.1999999999999998E-3</v>
      </c>
      <c r="G67" s="132">
        <v>2.7199999999999998E-2</v>
      </c>
      <c r="H67" s="132">
        <v>4.17</v>
      </c>
      <c r="I67" s="132">
        <v>8.4500000000000006E-2</v>
      </c>
      <c r="J67" s="132">
        <v>7.84</v>
      </c>
      <c r="K67" s="132">
        <v>17.52</v>
      </c>
      <c r="L67" s="132">
        <v>4.7</v>
      </c>
      <c r="M67" s="132">
        <v>10.99</v>
      </c>
      <c r="N67" s="132">
        <v>98.519099999999995</v>
      </c>
      <c r="O67" s="77">
        <v>4.1000000000000003E-3</v>
      </c>
      <c r="P67" s="77">
        <v>1.9470000000000001</v>
      </c>
      <c r="Q67" s="77">
        <v>2.9999999999999997E-4</v>
      </c>
      <c r="R67" s="77">
        <v>8.0000000000000004E-4</v>
      </c>
      <c r="S67" s="77">
        <v>0.29699999999999999</v>
      </c>
      <c r="T67" s="77">
        <v>2.5000000000000001E-3</v>
      </c>
      <c r="U67" s="77">
        <v>0.33900000000000002</v>
      </c>
      <c r="V67" s="77">
        <v>0.68899999999999995</v>
      </c>
      <c r="W67" s="77">
        <v>0.14399999999999999</v>
      </c>
      <c r="Y67" s="77">
        <v>0.60199999999999998</v>
      </c>
      <c r="Z67" s="77">
        <v>4.0258000000000003</v>
      </c>
      <c r="AA67" s="130">
        <f t="shared" si="15"/>
        <v>48.013937282229968</v>
      </c>
      <c r="AB67" s="130">
        <f t="shared" si="16"/>
        <v>41.951219512195124</v>
      </c>
      <c r="AC67" s="130">
        <f t="shared" si="17"/>
        <v>10.034843205574914</v>
      </c>
      <c r="AD67" s="130">
        <f>Y67/(Y67+W67)</f>
        <v>0.806970509383378</v>
      </c>
    </row>
    <row r="68" spans="1:30" ht="17" x14ac:dyDescent="0.2">
      <c r="A68" s="119" t="s">
        <v>336</v>
      </c>
      <c r="B68" s="125">
        <v>154.87099152516029</v>
      </c>
      <c r="C68" s="125">
        <v>-155.03328138328649</v>
      </c>
      <c r="D68" s="132">
        <v>0.1245</v>
      </c>
      <c r="E68" s="132">
        <v>53.6</v>
      </c>
      <c r="F68" s="132">
        <v>0</v>
      </c>
      <c r="G68" s="132">
        <v>2.5600000000000001E-2</v>
      </c>
      <c r="H68" s="132">
        <v>3.99</v>
      </c>
      <c r="I68" s="132">
        <v>4.6600000000000003E-2</v>
      </c>
      <c r="J68" s="132">
        <v>7.4</v>
      </c>
      <c r="K68" s="132">
        <v>17.72</v>
      </c>
      <c r="L68" s="132">
        <v>4.74</v>
      </c>
      <c r="M68" s="132">
        <v>11.15</v>
      </c>
      <c r="N68" s="132">
        <v>98.796800000000005</v>
      </c>
      <c r="O68" s="77">
        <v>3.3999999999999998E-3</v>
      </c>
      <c r="P68" s="77">
        <v>1.9610000000000001</v>
      </c>
      <c r="Q68" s="77">
        <v>0</v>
      </c>
      <c r="R68" s="77">
        <v>8.0000000000000004E-4</v>
      </c>
      <c r="S68" s="77">
        <v>0.28299999999999997</v>
      </c>
      <c r="T68" s="77">
        <v>1.2999999999999999E-3</v>
      </c>
      <c r="U68" s="77">
        <v>0.31900000000000001</v>
      </c>
      <c r="V68" s="77">
        <v>0.69499999999999995</v>
      </c>
      <c r="W68" s="77">
        <v>0.14499999999999999</v>
      </c>
      <c r="Y68" s="77">
        <v>0.60799999999999998</v>
      </c>
      <c r="Z68" s="77">
        <v>4.0166000000000004</v>
      </c>
      <c r="AA68" s="130">
        <f t="shared" si="15"/>
        <v>47.997237569060772</v>
      </c>
      <c r="AB68" s="130">
        <f t="shared" si="16"/>
        <v>41.988950276243095</v>
      </c>
      <c r="AC68" s="130">
        <f t="shared" si="17"/>
        <v>10.013812154696131</v>
      </c>
      <c r="AD68" s="130">
        <f>Y68/(Y68+W68)</f>
        <v>0.8074369189907038</v>
      </c>
    </row>
    <row r="69" spans="1:30" ht="17" x14ac:dyDescent="0.2">
      <c r="A69" s="119" t="s">
        <v>337</v>
      </c>
      <c r="B69" s="125">
        <v>232.80044680364165</v>
      </c>
      <c r="C69" s="125">
        <v>-77.103826104805137</v>
      </c>
      <c r="D69" s="132">
        <v>0.1681</v>
      </c>
      <c r="E69" s="132">
        <v>53.48</v>
      </c>
      <c r="F69" s="132">
        <v>6.6E-3</v>
      </c>
      <c r="G69" s="132">
        <v>2.7199999999999998E-2</v>
      </c>
      <c r="H69" s="132">
        <v>4.12</v>
      </c>
      <c r="I69" s="132">
        <v>8.6900000000000005E-2</v>
      </c>
      <c r="J69" s="132">
        <v>7.53</v>
      </c>
      <c r="K69" s="132">
        <v>17.54</v>
      </c>
      <c r="L69" s="132">
        <v>4.6500000000000004</v>
      </c>
      <c r="M69" s="132">
        <v>11.1</v>
      </c>
      <c r="N69" s="132">
        <v>98.708799999999997</v>
      </c>
      <c r="O69" s="77">
        <v>4.5999999999999999E-3</v>
      </c>
      <c r="P69" s="77">
        <v>1.958</v>
      </c>
      <c r="Q69" s="77">
        <v>2.9999999999999997E-4</v>
      </c>
      <c r="R69" s="77">
        <v>8.0000000000000004E-4</v>
      </c>
      <c r="S69" s="77">
        <v>0.29199999999999998</v>
      </c>
      <c r="T69" s="77">
        <v>2.5000000000000001E-3</v>
      </c>
      <c r="U69" s="77">
        <v>0.32500000000000001</v>
      </c>
      <c r="V69" s="77">
        <v>0.68799999999999994</v>
      </c>
      <c r="W69" s="77">
        <v>0.14199999999999999</v>
      </c>
      <c r="Y69" s="77">
        <v>0.60599999999999998</v>
      </c>
      <c r="Z69" s="77">
        <v>4.0193000000000003</v>
      </c>
      <c r="AA69" s="130">
        <f t="shared" si="15"/>
        <v>47.910863509749305</v>
      </c>
      <c r="AB69" s="130">
        <f t="shared" si="16"/>
        <v>42.200557103064071</v>
      </c>
      <c r="AC69" s="130">
        <f t="shared" si="17"/>
        <v>9.8885793871866294</v>
      </c>
      <c r="AD69" s="130">
        <f>Y69/(Y69+W69)</f>
        <v>0.81016042780748665</v>
      </c>
    </row>
    <row r="70" spans="1:30" x14ac:dyDescent="0.2">
      <c r="B70" s="125"/>
      <c r="C70" s="125"/>
      <c r="D70" s="132"/>
      <c r="E70" s="132"/>
      <c r="F70" s="132"/>
      <c r="G70" s="132"/>
      <c r="H70" s="132"/>
      <c r="I70" s="132"/>
      <c r="J70" s="132"/>
      <c r="K70" s="132"/>
      <c r="L70" s="132"/>
      <c r="M70" s="132"/>
      <c r="N70" s="132"/>
      <c r="O70" s="77"/>
      <c r="P70" s="77"/>
      <c r="Q70" s="77"/>
      <c r="R70" s="77"/>
      <c r="S70" s="77"/>
      <c r="T70" s="77"/>
      <c r="U70" s="77"/>
      <c r="V70" s="77"/>
      <c r="W70" s="77"/>
      <c r="Y70" s="77"/>
      <c r="Z70" s="77"/>
      <c r="AA70" s="130"/>
      <c r="AB70" s="130"/>
      <c r="AC70" s="130"/>
      <c r="AD70" s="130"/>
    </row>
    <row r="71" spans="1:30" ht="17" x14ac:dyDescent="0.2">
      <c r="A71" s="119" t="s">
        <v>244</v>
      </c>
      <c r="B71" s="125"/>
      <c r="C71" s="125"/>
      <c r="D71" s="131">
        <f t="shared" ref="D71:AD71" si="19">AVERAGE(D50:D69)</f>
        <v>0.17423157894736838</v>
      </c>
      <c r="E71" s="131">
        <f t="shared" si="19"/>
        <v>53.695789473684215</v>
      </c>
      <c r="F71" s="131">
        <f t="shared" si="19"/>
        <v>1.2421052631578949E-2</v>
      </c>
      <c r="G71" s="131">
        <f t="shared" si="19"/>
        <v>2.4647368421052633E-2</v>
      </c>
      <c r="H71" s="131">
        <f t="shared" si="19"/>
        <v>4.0889473684210529</v>
      </c>
      <c r="I71" s="131">
        <f t="shared" si="19"/>
        <v>4.3642105263157892E-2</v>
      </c>
      <c r="J71" s="131">
        <f t="shared" si="19"/>
        <v>7.7878947368421052</v>
      </c>
      <c r="K71" s="131">
        <f t="shared" si="19"/>
        <v>17.123157894736842</v>
      </c>
      <c r="L71" s="131">
        <f t="shared" si="19"/>
        <v>4.8189473684210524</v>
      </c>
      <c r="M71" s="131">
        <f t="shared" si="19"/>
        <v>11.253157894736843</v>
      </c>
      <c r="N71" s="131">
        <f t="shared" si="19"/>
        <v>99.022905263157895</v>
      </c>
      <c r="O71" s="131">
        <f t="shared" si="19"/>
        <v>4.7894736842105275E-3</v>
      </c>
      <c r="P71" s="131">
        <f t="shared" si="19"/>
        <v>1.956894736842105</v>
      </c>
      <c r="Q71" s="131">
        <f t="shared" si="19"/>
        <v>5.7894736842105258E-4</v>
      </c>
      <c r="R71" s="131">
        <f t="shared" si="19"/>
        <v>7.6842105263157903E-4</v>
      </c>
      <c r="S71" s="131">
        <f t="shared" si="19"/>
        <v>0.28878947368421048</v>
      </c>
      <c r="T71" s="131">
        <f t="shared" si="19"/>
        <v>1.2684210526315788E-3</v>
      </c>
      <c r="U71" s="131">
        <f t="shared" si="19"/>
        <v>0.33468421052631586</v>
      </c>
      <c r="V71" s="131">
        <f t="shared" si="19"/>
        <v>0.66842105263157903</v>
      </c>
      <c r="W71" s="131">
        <f t="shared" si="19"/>
        <v>0.14705263157894741</v>
      </c>
      <c r="X71" s="131"/>
      <c r="Y71" s="131">
        <f t="shared" si="19"/>
        <v>0.61173684210526313</v>
      </c>
      <c r="Z71" s="131">
        <f t="shared" si="19"/>
        <v>4.0150736842105266</v>
      </c>
      <c r="AA71" s="131">
        <f t="shared" si="19"/>
        <v>46.918089231747516</v>
      </c>
      <c r="AB71" s="131">
        <f t="shared" si="19"/>
        <v>42.811467087210808</v>
      </c>
      <c r="AC71" s="131">
        <f t="shared" si="19"/>
        <v>10.270443681041689</v>
      </c>
      <c r="AD71" s="131">
        <f t="shared" si="19"/>
        <v>0.80756993492619455</v>
      </c>
    </row>
    <row r="72" spans="1:30" x14ac:dyDescent="0.2">
      <c r="B72" s="125"/>
      <c r="C72" s="125"/>
      <c r="D72" s="131"/>
      <c r="E72" s="131"/>
      <c r="F72" s="131"/>
      <c r="G72" s="131"/>
      <c r="H72" s="131"/>
      <c r="I72" s="131"/>
      <c r="J72" s="131"/>
      <c r="K72" s="131"/>
      <c r="L72" s="131"/>
      <c r="M72" s="131"/>
      <c r="N72" s="131"/>
      <c r="O72" s="131"/>
      <c r="P72" s="131"/>
      <c r="Q72" s="131"/>
      <c r="R72" s="131"/>
      <c r="S72" s="131"/>
      <c r="T72" s="131"/>
      <c r="U72" s="131"/>
      <c r="V72" s="131"/>
      <c r="W72" s="131"/>
      <c r="X72" s="131"/>
      <c r="Y72" s="131"/>
      <c r="Z72" s="131"/>
      <c r="AA72" s="131"/>
      <c r="AB72" s="131"/>
      <c r="AC72" s="131"/>
      <c r="AD72" s="131"/>
    </row>
    <row r="73" spans="1:30" ht="17" x14ac:dyDescent="0.2">
      <c r="A73" s="119" t="s">
        <v>338</v>
      </c>
      <c r="B73" s="125">
        <v>0</v>
      </c>
      <c r="C73" s="125">
        <v>-174.87215546977012</v>
      </c>
      <c r="D73" s="132">
        <v>0.13589999999999999</v>
      </c>
      <c r="E73" s="132">
        <v>54.47</v>
      </c>
      <c r="F73" s="132">
        <v>3.0000000000000001E-3</v>
      </c>
      <c r="G73" s="132">
        <v>2.7099999999999999E-2</v>
      </c>
      <c r="H73" s="132">
        <v>5.9</v>
      </c>
      <c r="I73" s="132">
        <v>3.6299999999999999E-2</v>
      </c>
      <c r="J73" s="132">
        <v>9.31</v>
      </c>
      <c r="K73" s="132">
        <v>14.79</v>
      </c>
      <c r="L73" s="132">
        <v>5.2</v>
      </c>
      <c r="M73" s="132">
        <v>9.25</v>
      </c>
      <c r="N73" s="132">
        <v>99.122399999999999</v>
      </c>
      <c r="O73" s="77">
        <v>3.7000000000000002E-3</v>
      </c>
      <c r="P73" s="77">
        <v>1.976</v>
      </c>
      <c r="Q73" s="77">
        <v>1E-4</v>
      </c>
      <c r="R73" s="77">
        <v>8.0000000000000004E-4</v>
      </c>
      <c r="S73" s="77">
        <v>0.41499999999999998</v>
      </c>
      <c r="T73" s="77">
        <v>1E-3</v>
      </c>
      <c r="U73" s="77">
        <v>0.39800000000000002</v>
      </c>
      <c r="V73" s="77">
        <v>0.57499999999999996</v>
      </c>
      <c r="W73" s="77">
        <v>0.158</v>
      </c>
      <c r="Y73" s="77">
        <v>0.5</v>
      </c>
      <c r="Z73" s="77">
        <v>4.0277000000000003</v>
      </c>
      <c r="AA73" s="130">
        <f t="shared" si="15"/>
        <v>46.634225466342251</v>
      </c>
      <c r="AB73" s="130">
        <f t="shared" si="16"/>
        <v>40.551500405515007</v>
      </c>
      <c r="AC73" s="130">
        <f t="shared" si="17"/>
        <v>12.814274128142744</v>
      </c>
      <c r="AD73" s="130">
        <f t="shared" ref="AD73:AD82" si="20">Y73/(Y73+W73)</f>
        <v>0.75987841945288748</v>
      </c>
    </row>
    <row r="74" spans="1:30" ht="17" x14ac:dyDescent="0.2">
      <c r="A74" s="119" t="s">
        <v>339</v>
      </c>
      <c r="B74" s="125">
        <v>19.104973174543275</v>
      </c>
      <c r="C74" s="125">
        <v>-155.76718229522683</v>
      </c>
      <c r="D74" s="132">
        <v>0.10680000000000001</v>
      </c>
      <c r="E74" s="132">
        <v>54.37</v>
      </c>
      <c r="F74" s="132">
        <v>9.1000000000000004E-3</v>
      </c>
      <c r="G74" s="132">
        <v>1.15E-2</v>
      </c>
      <c r="H74" s="132">
        <v>5.79</v>
      </c>
      <c r="I74" s="132">
        <v>3.9300000000000002E-2</v>
      </c>
      <c r="J74" s="132">
        <v>9.33</v>
      </c>
      <c r="K74" s="132">
        <v>14.91</v>
      </c>
      <c r="L74" s="132">
        <v>5.23</v>
      </c>
      <c r="M74" s="132">
        <v>9.26</v>
      </c>
      <c r="N74" s="132">
        <v>99.056799999999996</v>
      </c>
      <c r="O74" s="77">
        <v>2.8999999999999998E-3</v>
      </c>
      <c r="P74" s="77">
        <v>1.974</v>
      </c>
      <c r="Q74" s="77">
        <v>4.0000000000000002E-4</v>
      </c>
      <c r="R74" s="77">
        <v>4.0000000000000002E-4</v>
      </c>
      <c r="S74" s="77">
        <v>0.40799999999999997</v>
      </c>
      <c r="T74" s="77">
        <v>1.1000000000000001E-3</v>
      </c>
      <c r="U74" s="77">
        <v>0.4</v>
      </c>
      <c r="V74" s="77">
        <v>0.57999999999999996</v>
      </c>
      <c r="W74" s="77">
        <v>0.159</v>
      </c>
      <c r="Y74" s="77">
        <v>0.501</v>
      </c>
      <c r="Z74" s="77">
        <v>4.0267999999999997</v>
      </c>
      <c r="AA74" s="130">
        <f t="shared" si="15"/>
        <v>46.774193548387089</v>
      </c>
      <c r="AB74" s="130">
        <f t="shared" si="16"/>
        <v>40.403225806451616</v>
      </c>
      <c r="AC74" s="130">
        <f t="shared" si="17"/>
        <v>12.82258064516129</v>
      </c>
      <c r="AD74" s="130">
        <f t="shared" si="20"/>
        <v>0.75909090909090904</v>
      </c>
    </row>
    <row r="75" spans="1:30" ht="17" x14ac:dyDescent="0.2">
      <c r="A75" s="119" t="s">
        <v>340</v>
      </c>
      <c r="B75" s="125">
        <v>38.954406415817033</v>
      </c>
      <c r="C75" s="125">
        <v>-135.91774905395309</v>
      </c>
      <c r="D75" s="132">
        <v>0.10150000000000001</v>
      </c>
      <c r="E75" s="132">
        <v>54.3</v>
      </c>
      <c r="F75" s="132">
        <v>9.1000000000000004E-3</v>
      </c>
      <c r="G75" s="132">
        <v>1.5100000000000001E-2</v>
      </c>
      <c r="H75" s="132">
        <v>5.69</v>
      </c>
      <c r="I75" s="132">
        <v>3.8999999999999998E-3</v>
      </c>
      <c r="J75" s="132">
        <v>9.49</v>
      </c>
      <c r="K75" s="132">
        <v>14.8</v>
      </c>
      <c r="L75" s="132">
        <v>5.26</v>
      </c>
      <c r="M75" s="132">
        <v>9.1300000000000008</v>
      </c>
      <c r="N75" s="132">
        <v>98.799700000000001</v>
      </c>
      <c r="O75" s="77">
        <v>2.8E-3</v>
      </c>
      <c r="P75" s="77">
        <v>1.9750000000000001</v>
      </c>
      <c r="Q75" s="77">
        <v>4.0000000000000002E-4</v>
      </c>
      <c r="R75" s="77">
        <v>5.0000000000000001E-4</v>
      </c>
      <c r="S75" s="77">
        <v>0.40100000000000002</v>
      </c>
      <c r="T75" s="77">
        <v>1E-4</v>
      </c>
      <c r="U75" s="77">
        <v>0.40699999999999997</v>
      </c>
      <c r="V75" s="77">
        <v>0.57699999999999996</v>
      </c>
      <c r="W75" s="77">
        <v>0.16</v>
      </c>
      <c r="Y75" s="77">
        <v>0.495</v>
      </c>
      <c r="Z75" s="77">
        <v>4.0189000000000004</v>
      </c>
      <c r="AA75" s="130">
        <f t="shared" si="15"/>
        <v>46.834415584415581</v>
      </c>
      <c r="AB75" s="130">
        <f t="shared" si="16"/>
        <v>40.178571428571431</v>
      </c>
      <c r="AC75" s="130">
        <f t="shared" si="17"/>
        <v>12.987012987012987</v>
      </c>
      <c r="AD75" s="130">
        <f t="shared" si="20"/>
        <v>0.75572519083969458</v>
      </c>
    </row>
    <row r="76" spans="1:30" ht="17" x14ac:dyDescent="0.2">
      <c r="A76" s="119" t="s">
        <v>341</v>
      </c>
      <c r="B76" s="125">
        <v>58.753396289049491</v>
      </c>
      <c r="C76" s="125">
        <v>-116.11875918072064</v>
      </c>
      <c r="D76" s="132">
        <v>0.1305</v>
      </c>
      <c r="E76" s="132">
        <v>54.26</v>
      </c>
      <c r="F76" s="132">
        <v>1.03E-2</v>
      </c>
      <c r="G76" s="132">
        <v>1.9599999999999999E-2</v>
      </c>
      <c r="H76" s="132">
        <v>5.9</v>
      </c>
      <c r="I76" s="132">
        <v>2.3099999999999999E-2</v>
      </c>
      <c r="J76" s="132">
        <v>9.27</v>
      </c>
      <c r="K76" s="132">
        <v>14.98</v>
      </c>
      <c r="L76" s="132">
        <v>5.36</v>
      </c>
      <c r="M76" s="132">
        <v>9.24</v>
      </c>
      <c r="N76" s="132">
        <v>99.193600000000004</v>
      </c>
      <c r="O76" s="77">
        <v>3.5999999999999999E-3</v>
      </c>
      <c r="P76" s="77">
        <v>1.9710000000000001</v>
      </c>
      <c r="Q76" s="77">
        <v>5.0000000000000001E-4</v>
      </c>
      <c r="R76" s="77">
        <v>5.9999999999999995E-4</v>
      </c>
      <c r="S76" s="77">
        <v>0.41499999999999998</v>
      </c>
      <c r="T76" s="77">
        <v>6.9999999999999999E-4</v>
      </c>
      <c r="U76" s="77">
        <v>0.39700000000000002</v>
      </c>
      <c r="V76" s="77">
        <v>0.58299999999999996</v>
      </c>
      <c r="W76" s="77">
        <v>0.16300000000000001</v>
      </c>
      <c r="Y76" s="77">
        <v>0.5</v>
      </c>
      <c r="Z76" s="77">
        <v>4.0345000000000004</v>
      </c>
      <c r="AA76" s="130">
        <f t="shared" si="15"/>
        <v>46.789727126805779</v>
      </c>
      <c r="AB76" s="130">
        <f t="shared" si="16"/>
        <v>40.12841091492777</v>
      </c>
      <c r="AC76" s="130">
        <f t="shared" si="17"/>
        <v>13.081861958266453</v>
      </c>
      <c r="AD76" s="130">
        <f t="shared" si="20"/>
        <v>0.75414781297134237</v>
      </c>
    </row>
    <row r="77" spans="1:30" ht="17" x14ac:dyDescent="0.2">
      <c r="A77" s="119" t="s">
        <v>342</v>
      </c>
      <c r="B77" s="125">
        <v>77.858369463583102</v>
      </c>
      <c r="C77" s="125">
        <v>-97.013786006187033</v>
      </c>
      <c r="D77" s="132">
        <v>0.1157</v>
      </c>
      <c r="E77" s="132">
        <v>54.09</v>
      </c>
      <c r="F77" s="132">
        <v>4.1999999999999997E-3</v>
      </c>
      <c r="G77" s="132">
        <v>5.4999999999999997E-3</v>
      </c>
      <c r="H77" s="132">
        <v>5.65</v>
      </c>
      <c r="I77" s="132">
        <v>3.7400000000000003E-2</v>
      </c>
      <c r="J77" s="132">
        <v>9.2799999999999994</v>
      </c>
      <c r="K77" s="132">
        <v>14.97</v>
      </c>
      <c r="L77" s="132">
        <v>5.39</v>
      </c>
      <c r="M77" s="132">
        <v>9.09</v>
      </c>
      <c r="N77" s="132">
        <v>98.632900000000006</v>
      </c>
      <c r="O77" s="77">
        <v>3.2000000000000002E-3</v>
      </c>
      <c r="P77" s="77">
        <v>1.974</v>
      </c>
      <c r="Q77" s="77">
        <v>2.0000000000000001E-4</v>
      </c>
      <c r="R77" s="77">
        <v>2.0000000000000001E-4</v>
      </c>
      <c r="S77" s="77">
        <v>0.4</v>
      </c>
      <c r="T77" s="77">
        <v>1.1000000000000001E-3</v>
      </c>
      <c r="U77" s="77">
        <v>0.39900000000000002</v>
      </c>
      <c r="V77" s="77">
        <v>0.58499999999999996</v>
      </c>
      <c r="W77" s="77">
        <v>0.16500000000000001</v>
      </c>
      <c r="Y77" s="77">
        <v>0.495</v>
      </c>
      <c r="Z77" s="77">
        <v>4.0228000000000002</v>
      </c>
      <c r="AA77" s="130">
        <f t="shared" si="15"/>
        <v>46.98795180722891</v>
      </c>
      <c r="AB77" s="130">
        <f t="shared" si="16"/>
        <v>39.75903614457831</v>
      </c>
      <c r="AC77" s="130">
        <f t="shared" si="17"/>
        <v>13.253012048192771</v>
      </c>
      <c r="AD77" s="130">
        <f t="shared" si="20"/>
        <v>0.75</v>
      </c>
    </row>
    <row r="78" spans="1:30" ht="17" x14ac:dyDescent="0.2">
      <c r="A78" s="119" t="s">
        <v>343</v>
      </c>
      <c r="B78" s="125">
        <v>97.707802704866168</v>
      </c>
      <c r="C78" s="125">
        <v>-77.164352764903967</v>
      </c>
      <c r="D78" s="132">
        <v>0.121</v>
      </c>
      <c r="E78" s="132">
        <v>54.26</v>
      </c>
      <c r="F78" s="132">
        <v>4.7999999999999996E-3</v>
      </c>
      <c r="G78" s="132">
        <v>2.3099999999999999E-2</v>
      </c>
      <c r="H78" s="132">
        <v>5.78</v>
      </c>
      <c r="I78" s="132">
        <v>1.95E-2</v>
      </c>
      <c r="J78" s="132">
        <v>9.1999999999999993</v>
      </c>
      <c r="K78" s="132">
        <v>14.89</v>
      </c>
      <c r="L78" s="132">
        <v>5.39</v>
      </c>
      <c r="M78" s="132">
        <v>9.2899999999999991</v>
      </c>
      <c r="N78" s="132">
        <v>98.978399999999993</v>
      </c>
      <c r="O78" s="77">
        <v>3.3E-3</v>
      </c>
      <c r="P78" s="77">
        <v>1.974</v>
      </c>
      <c r="Q78" s="77">
        <v>2.0000000000000001E-4</v>
      </c>
      <c r="R78" s="77">
        <v>6.9999999999999999E-4</v>
      </c>
      <c r="S78" s="77">
        <v>0.40799999999999997</v>
      </c>
      <c r="T78" s="77">
        <v>5.9999999999999995E-4</v>
      </c>
      <c r="U78" s="77">
        <v>0.39500000000000002</v>
      </c>
      <c r="V78" s="77">
        <v>0.57999999999999996</v>
      </c>
      <c r="W78" s="77">
        <v>0.16400000000000001</v>
      </c>
      <c r="Y78" s="77">
        <v>0.504</v>
      </c>
      <c r="Z78" s="77">
        <v>4.0298999999999996</v>
      </c>
      <c r="AA78" s="130">
        <f t="shared" si="15"/>
        <v>46.474358974358971</v>
      </c>
      <c r="AB78" s="130">
        <f t="shared" si="16"/>
        <v>40.384615384615387</v>
      </c>
      <c r="AC78" s="130">
        <f t="shared" si="17"/>
        <v>13.141025641025642</v>
      </c>
      <c r="AD78" s="130">
        <f t="shared" si="20"/>
        <v>0.75449101796407181</v>
      </c>
    </row>
    <row r="79" spans="1:30" ht="17" x14ac:dyDescent="0.2">
      <c r="A79" s="119" t="s">
        <v>344</v>
      </c>
      <c r="B79" s="125">
        <v>116.81277587940498</v>
      </c>
      <c r="C79" s="125">
        <v>-58.059379590365154</v>
      </c>
      <c r="D79" s="132">
        <v>9.2600000000000002E-2</v>
      </c>
      <c r="E79" s="132">
        <v>54.29</v>
      </c>
      <c r="F79" s="132">
        <v>7.9000000000000008E-3</v>
      </c>
      <c r="G79" s="132">
        <v>2.01E-2</v>
      </c>
      <c r="H79" s="132">
        <v>5.95</v>
      </c>
      <c r="I79" s="132">
        <v>2.1899999999999999E-2</v>
      </c>
      <c r="J79" s="132">
        <v>9.23</v>
      </c>
      <c r="K79" s="132">
        <v>14.77</v>
      </c>
      <c r="L79" s="132">
        <v>5.22</v>
      </c>
      <c r="M79" s="132">
        <v>9.31</v>
      </c>
      <c r="N79" s="132">
        <v>98.912599999999998</v>
      </c>
      <c r="O79" s="77">
        <v>2.5000000000000001E-3</v>
      </c>
      <c r="P79" s="77">
        <v>1.9750000000000001</v>
      </c>
      <c r="Q79" s="77">
        <v>4.0000000000000002E-4</v>
      </c>
      <c r="R79" s="77">
        <v>5.9999999999999995E-4</v>
      </c>
      <c r="S79" s="77">
        <v>0.42</v>
      </c>
      <c r="T79" s="77">
        <v>5.9999999999999995E-4</v>
      </c>
      <c r="U79" s="77">
        <v>0.39600000000000002</v>
      </c>
      <c r="V79" s="77">
        <v>0.57599999999999996</v>
      </c>
      <c r="W79" s="77">
        <v>0.159</v>
      </c>
      <c r="Y79" s="77">
        <v>0.505</v>
      </c>
      <c r="Z79" s="77">
        <v>4.0351999999999997</v>
      </c>
      <c r="AA79" s="130">
        <f t="shared" si="15"/>
        <v>46.451612903225801</v>
      </c>
      <c r="AB79" s="130">
        <f t="shared" si="16"/>
        <v>40.725806451612904</v>
      </c>
      <c r="AC79" s="130">
        <f t="shared" si="17"/>
        <v>12.82258064516129</v>
      </c>
      <c r="AD79" s="130">
        <f t="shared" si="20"/>
        <v>0.76054216867469882</v>
      </c>
    </row>
    <row r="80" spans="1:30" ht="17" x14ac:dyDescent="0.2">
      <c r="A80" s="119" t="s">
        <v>345</v>
      </c>
      <c r="B80" s="125">
        <v>135.91774905394826</v>
      </c>
      <c r="C80" s="125">
        <v>-38.954406415821879</v>
      </c>
      <c r="D80" s="132">
        <v>0.1211</v>
      </c>
      <c r="E80" s="132">
        <v>54.35</v>
      </c>
      <c r="F80" s="132">
        <v>7.9000000000000008E-3</v>
      </c>
      <c r="G80" s="132">
        <v>2.46E-2</v>
      </c>
      <c r="H80" s="132">
        <v>5.54</v>
      </c>
      <c r="I80" s="132">
        <v>3.3300000000000003E-2</v>
      </c>
      <c r="J80" s="132">
        <v>9.35</v>
      </c>
      <c r="K80" s="132">
        <v>14.82</v>
      </c>
      <c r="L80" s="132">
        <v>5.17</v>
      </c>
      <c r="M80" s="132">
        <v>9.17</v>
      </c>
      <c r="N80" s="132">
        <v>98.587000000000003</v>
      </c>
      <c r="O80" s="77">
        <v>3.3E-3</v>
      </c>
      <c r="P80" s="77">
        <v>1.98</v>
      </c>
      <c r="Q80" s="77">
        <v>4.0000000000000002E-4</v>
      </c>
      <c r="R80" s="77">
        <v>8.0000000000000004E-4</v>
      </c>
      <c r="S80" s="77">
        <v>0.39200000000000002</v>
      </c>
      <c r="T80" s="77">
        <v>1E-3</v>
      </c>
      <c r="U80" s="77">
        <v>0.40100000000000002</v>
      </c>
      <c r="V80" s="77">
        <v>0.57899999999999996</v>
      </c>
      <c r="W80" s="77">
        <v>0.158</v>
      </c>
      <c r="Y80" s="77">
        <v>0.498</v>
      </c>
      <c r="Z80" s="77">
        <v>4.0134999999999996</v>
      </c>
      <c r="AA80" s="130">
        <f t="shared" si="15"/>
        <v>46.882591093117412</v>
      </c>
      <c r="AB80" s="130">
        <f t="shared" si="16"/>
        <v>40.323886639676118</v>
      </c>
      <c r="AC80" s="130">
        <f t="shared" si="17"/>
        <v>12.79352226720648</v>
      </c>
      <c r="AD80" s="130">
        <f t="shared" si="20"/>
        <v>0.75914634146341464</v>
      </c>
    </row>
    <row r="81" spans="1:30" ht="17" x14ac:dyDescent="0.2">
      <c r="A81" s="119" t="s">
        <v>346</v>
      </c>
      <c r="B81" s="125">
        <v>155.76718229523132</v>
      </c>
      <c r="C81" s="125">
        <v>-19.104973174538816</v>
      </c>
      <c r="D81" s="132">
        <v>8.1900000000000001E-2</v>
      </c>
      <c r="E81" s="132">
        <v>54.63</v>
      </c>
      <c r="F81" s="132">
        <v>0</v>
      </c>
      <c r="G81" s="132">
        <v>2.1100000000000001E-2</v>
      </c>
      <c r="H81" s="132">
        <v>6.03</v>
      </c>
      <c r="I81" s="132">
        <v>5.1200000000000002E-2</v>
      </c>
      <c r="J81" s="132">
        <v>9.65</v>
      </c>
      <c r="K81" s="132">
        <v>14.57</v>
      </c>
      <c r="L81" s="132">
        <v>5.08</v>
      </c>
      <c r="M81" s="132">
        <v>9.24</v>
      </c>
      <c r="N81" s="132">
        <v>99.354299999999995</v>
      </c>
      <c r="O81" s="77">
        <v>2.2000000000000001E-3</v>
      </c>
      <c r="P81" s="77">
        <v>1.974</v>
      </c>
      <c r="Q81" s="77">
        <v>0</v>
      </c>
      <c r="R81" s="77">
        <v>5.9999999999999995E-4</v>
      </c>
      <c r="S81" s="77">
        <v>0.42299999999999999</v>
      </c>
      <c r="T81" s="77">
        <v>1.5E-3</v>
      </c>
      <c r="U81" s="77">
        <v>0.41099999999999998</v>
      </c>
      <c r="V81" s="77">
        <v>0.56399999999999995</v>
      </c>
      <c r="W81" s="77">
        <v>0.154</v>
      </c>
      <c r="Y81" s="77">
        <v>0.498</v>
      </c>
      <c r="Z81" s="77">
        <v>4.0282999999999998</v>
      </c>
      <c r="AA81" s="130">
        <f t="shared" si="15"/>
        <v>46.381578947368425</v>
      </c>
      <c r="AB81" s="130">
        <f t="shared" si="16"/>
        <v>40.953947368421062</v>
      </c>
      <c r="AC81" s="130">
        <f t="shared" si="17"/>
        <v>12.664473684210529</v>
      </c>
      <c r="AD81" s="130">
        <f t="shared" si="20"/>
        <v>0.76380368098159501</v>
      </c>
    </row>
    <row r="82" spans="1:30" ht="17" x14ac:dyDescent="0.2">
      <c r="A82" s="119" t="s">
        <v>347</v>
      </c>
      <c r="B82" s="125">
        <v>174.87215546977015</v>
      </c>
      <c r="C82" s="125">
        <v>0</v>
      </c>
      <c r="D82" s="132">
        <v>0.1038</v>
      </c>
      <c r="E82" s="132">
        <v>54.29</v>
      </c>
      <c r="F82" s="132">
        <v>9.1000000000000004E-3</v>
      </c>
      <c r="G82" s="132">
        <v>1.21E-2</v>
      </c>
      <c r="H82" s="132">
        <v>5.61</v>
      </c>
      <c r="I82" s="132">
        <v>2.9700000000000001E-2</v>
      </c>
      <c r="J82" s="132">
        <v>9.2799999999999994</v>
      </c>
      <c r="K82" s="132">
        <v>14.87</v>
      </c>
      <c r="L82" s="132">
        <v>5.28</v>
      </c>
      <c r="M82" s="132">
        <v>9.4</v>
      </c>
      <c r="N82" s="132">
        <v>98.884799999999998</v>
      </c>
      <c r="O82" s="77">
        <v>2.8E-3</v>
      </c>
      <c r="P82" s="77">
        <v>1.974</v>
      </c>
      <c r="Q82" s="77">
        <v>4.0000000000000002E-4</v>
      </c>
      <c r="R82" s="77">
        <v>4.0000000000000002E-4</v>
      </c>
      <c r="S82" s="77">
        <v>0.39600000000000002</v>
      </c>
      <c r="T82" s="77">
        <v>8.9999999999999998E-4</v>
      </c>
      <c r="U82" s="77">
        <v>0.39800000000000002</v>
      </c>
      <c r="V82" s="77">
        <v>0.57999999999999996</v>
      </c>
      <c r="W82" s="77">
        <v>0.161</v>
      </c>
      <c r="Y82" s="77">
        <v>0.50900000000000001</v>
      </c>
      <c r="Z82" s="77">
        <v>4.0225</v>
      </c>
      <c r="AA82" s="130">
        <f t="shared" si="15"/>
        <v>46.399999999999991</v>
      </c>
      <c r="AB82" s="130">
        <f t="shared" si="16"/>
        <v>40.72</v>
      </c>
      <c r="AC82" s="130">
        <f t="shared" si="17"/>
        <v>12.88</v>
      </c>
      <c r="AD82" s="130">
        <f t="shared" si="20"/>
        <v>0.75970149253731345</v>
      </c>
    </row>
    <row r="83" spans="1:30" x14ac:dyDescent="0.2">
      <c r="B83" s="125"/>
      <c r="C83" s="125"/>
      <c r="D83" s="131"/>
      <c r="E83" s="131"/>
      <c r="F83" s="131"/>
      <c r="G83" s="131"/>
      <c r="H83" s="131"/>
      <c r="I83" s="131"/>
      <c r="J83" s="131"/>
      <c r="K83" s="131"/>
      <c r="L83" s="131"/>
      <c r="M83" s="131"/>
      <c r="N83" s="131"/>
      <c r="AA83" s="130"/>
      <c r="AB83" s="130"/>
      <c r="AC83" s="130"/>
      <c r="AD83" s="130"/>
    </row>
    <row r="84" spans="1:30" ht="17" x14ac:dyDescent="0.2">
      <c r="A84" s="119" t="s">
        <v>348</v>
      </c>
      <c r="B84" s="125">
        <v>0</v>
      </c>
      <c r="C84" s="125">
        <v>-237.92435772741362</v>
      </c>
      <c r="D84" s="132">
        <v>9.1999999999999998E-2</v>
      </c>
      <c r="E84" s="132">
        <v>54.32</v>
      </c>
      <c r="F84" s="132">
        <v>0</v>
      </c>
      <c r="G84" s="132">
        <v>1.3100000000000001E-2</v>
      </c>
      <c r="H84" s="132">
        <v>5.5</v>
      </c>
      <c r="I84" s="132">
        <v>2.1499999999999998E-2</v>
      </c>
      <c r="J84" s="132">
        <v>9.09</v>
      </c>
      <c r="K84" s="132">
        <v>15.03</v>
      </c>
      <c r="L84" s="132">
        <v>5.4</v>
      </c>
      <c r="M84" s="132">
        <v>9.3699999999999992</v>
      </c>
      <c r="N84" s="132">
        <v>98.836699999999993</v>
      </c>
      <c r="O84" s="77">
        <v>2.5000000000000001E-3</v>
      </c>
      <c r="P84" s="77">
        <v>1.978</v>
      </c>
      <c r="Q84" s="77">
        <v>0</v>
      </c>
      <c r="R84" s="77">
        <v>4.0000000000000002E-4</v>
      </c>
      <c r="S84" s="77">
        <v>0.38900000000000001</v>
      </c>
      <c r="T84" s="77">
        <v>5.9999999999999995E-4</v>
      </c>
      <c r="U84" s="77">
        <v>0.39</v>
      </c>
      <c r="V84" s="77">
        <v>0.58599999999999997</v>
      </c>
      <c r="W84" s="77">
        <v>0.16500000000000001</v>
      </c>
      <c r="Y84" s="77">
        <v>0.50800000000000001</v>
      </c>
      <c r="Z84" s="77">
        <v>4.0194999999999999</v>
      </c>
      <c r="AA84" s="130">
        <f t="shared" si="15"/>
        <v>46.544876886417789</v>
      </c>
      <c r="AB84" s="130">
        <f t="shared" si="16"/>
        <v>40.349483717235906</v>
      </c>
      <c r="AC84" s="130">
        <f t="shared" si="17"/>
        <v>13.105639396346307</v>
      </c>
      <c r="AD84" s="130">
        <f>Y84/(Y84+W84)</f>
        <v>0.75482912332838037</v>
      </c>
    </row>
    <row r="85" spans="1:30" ht="17" x14ac:dyDescent="0.2">
      <c r="A85" s="119" t="s">
        <v>349</v>
      </c>
      <c r="B85" s="125">
        <v>59.481089431850236</v>
      </c>
      <c r="C85" s="125">
        <v>-178.44326829556337</v>
      </c>
      <c r="D85" s="132">
        <v>8.9599999999999999E-2</v>
      </c>
      <c r="E85" s="132">
        <v>54.23</v>
      </c>
      <c r="F85" s="132">
        <v>5.9999999999999995E-4</v>
      </c>
      <c r="G85" s="132">
        <v>1.35E-2</v>
      </c>
      <c r="H85" s="132">
        <v>5.69</v>
      </c>
      <c r="I85" s="132">
        <v>3.8899999999999997E-2</v>
      </c>
      <c r="J85" s="132">
        <v>9.25</v>
      </c>
      <c r="K85" s="132">
        <v>14.95</v>
      </c>
      <c r="L85" s="132">
        <v>5.38</v>
      </c>
      <c r="M85" s="132">
        <v>9.34</v>
      </c>
      <c r="N85" s="132">
        <v>98.982600000000005</v>
      </c>
      <c r="O85" s="77">
        <v>2.5000000000000001E-3</v>
      </c>
      <c r="P85" s="77">
        <v>1.9730000000000001</v>
      </c>
      <c r="Q85" s="77">
        <v>0</v>
      </c>
      <c r="R85" s="77">
        <v>4.0000000000000002E-4</v>
      </c>
      <c r="S85" s="77">
        <v>0.40100000000000002</v>
      </c>
      <c r="T85" s="77">
        <v>1.1000000000000001E-3</v>
      </c>
      <c r="U85" s="77">
        <v>0.39600000000000002</v>
      </c>
      <c r="V85" s="77">
        <v>0.58299999999999996</v>
      </c>
      <c r="W85" s="77">
        <v>0.16400000000000001</v>
      </c>
      <c r="Y85" s="77">
        <v>0.50600000000000001</v>
      </c>
      <c r="Z85" s="77">
        <v>4.0270999999999999</v>
      </c>
      <c r="AA85" s="130">
        <f t="shared" si="15"/>
        <v>46.52833200319234</v>
      </c>
      <c r="AB85" s="130">
        <f t="shared" si="16"/>
        <v>40.383080606544297</v>
      </c>
      <c r="AC85" s="130">
        <f t="shared" si="17"/>
        <v>13.08858739026337</v>
      </c>
      <c r="AD85" s="130">
        <f>Y85/(Y85+W85)</f>
        <v>0.75522388059701484</v>
      </c>
    </row>
    <row r="86" spans="1:30" ht="17" x14ac:dyDescent="0.2">
      <c r="A86" s="119" t="s">
        <v>350</v>
      </c>
      <c r="B86" s="125">
        <v>118.96217886371313</v>
      </c>
      <c r="C86" s="125">
        <v>-118.96217886370047</v>
      </c>
      <c r="D86" s="132">
        <v>0.1288</v>
      </c>
      <c r="E86" s="132">
        <v>54.29</v>
      </c>
      <c r="F86" s="132">
        <v>1.5E-3</v>
      </c>
      <c r="G86" s="132">
        <v>1.0500000000000001E-2</v>
      </c>
      <c r="H86" s="132">
        <v>5.71</v>
      </c>
      <c r="I86" s="132">
        <v>4.4299999999999999E-2</v>
      </c>
      <c r="J86" s="132">
        <v>9.15</v>
      </c>
      <c r="K86" s="132">
        <v>14.93</v>
      </c>
      <c r="L86" s="132">
        <v>5.39</v>
      </c>
      <c r="M86" s="132">
        <v>9.16</v>
      </c>
      <c r="N86" s="132">
        <v>98.815100000000001</v>
      </c>
      <c r="O86" s="77">
        <v>3.5000000000000001E-3</v>
      </c>
      <c r="P86" s="77">
        <v>1.978</v>
      </c>
      <c r="Q86" s="77">
        <v>1E-4</v>
      </c>
      <c r="R86" s="77">
        <v>2.9999999999999997E-4</v>
      </c>
      <c r="S86" s="77">
        <v>0.40400000000000003</v>
      </c>
      <c r="T86" s="77">
        <v>1.2999999999999999E-3</v>
      </c>
      <c r="U86" s="77">
        <v>0.39300000000000002</v>
      </c>
      <c r="V86" s="77">
        <v>0.58299999999999996</v>
      </c>
      <c r="W86" s="77">
        <v>0.16400000000000001</v>
      </c>
      <c r="Y86" s="77">
        <v>0.497</v>
      </c>
      <c r="Z86" s="77">
        <v>4.0243000000000002</v>
      </c>
      <c r="AA86" s="130">
        <f t="shared" si="15"/>
        <v>46.864951768488744</v>
      </c>
      <c r="AB86" s="130">
        <f t="shared" si="16"/>
        <v>39.951768488745984</v>
      </c>
      <c r="AC86" s="130">
        <f t="shared" si="17"/>
        <v>13.183279742765276</v>
      </c>
      <c r="AD86" s="130">
        <f>Y86/(Y86+W86)</f>
        <v>0.75189107413010581</v>
      </c>
    </row>
    <row r="87" spans="1:30" ht="17" x14ac:dyDescent="0.2">
      <c r="A87" s="119" t="s">
        <v>351</v>
      </c>
      <c r="B87" s="125">
        <v>178.44326829556337</v>
      </c>
      <c r="C87" s="125">
        <v>-59.481089431850236</v>
      </c>
      <c r="D87" s="132">
        <v>0.10970000000000001</v>
      </c>
      <c r="E87" s="132">
        <v>54.36</v>
      </c>
      <c r="F87" s="132">
        <v>0</v>
      </c>
      <c r="G87" s="132">
        <v>2.46E-2</v>
      </c>
      <c r="H87" s="132">
        <v>5.59</v>
      </c>
      <c r="I87" s="132">
        <v>0</v>
      </c>
      <c r="J87" s="132">
        <v>9.1300000000000008</v>
      </c>
      <c r="K87" s="132">
        <v>15.07</v>
      </c>
      <c r="L87" s="132">
        <v>5.41</v>
      </c>
      <c r="M87" s="132">
        <v>9.2100000000000009</v>
      </c>
      <c r="N87" s="132">
        <v>98.904399999999995</v>
      </c>
      <c r="O87" s="77">
        <v>3.0000000000000001E-3</v>
      </c>
      <c r="P87" s="77">
        <v>1.978</v>
      </c>
      <c r="Q87" s="77">
        <v>0</v>
      </c>
      <c r="R87" s="77">
        <v>8.0000000000000004E-4</v>
      </c>
      <c r="S87" s="77">
        <v>0.39400000000000002</v>
      </c>
      <c r="T87" s="77">
        <v>0</v>
      </c>
      <c r="U87" s="77">
        <v>0.39200000000000002</v>
      </c>
      <c r="V87" s="77">
        <v>0.58799999999999997</v>
      </c>
      <c r="W87" s="77">
        <v>0.16500000000000001</v>
      </c>
      <c r="Y87" s="77">
        <v>0.5</v>
      </c>
      <c r="Z87" s="77">
        <v>4.0209000000000001</v>
      </c>
      <c r="AA87" s="130">
        <f t="shared" si="15"/>
        <v>46.927374301675968</v>
      </c>
      <c r="AB87" s="130">
        <f t="shared" si="16"/>
        <v>39.904229848363926</v>
      </c>
      <c r="AC87" s="130">
        <f t="shared" si="17"/>
        <v>13.168395849960094</v>
      </c>
      <c r="AD87" s="130">
        <f>Y87/(Y87+W87)</f>
        <v>0.75187969924812026</v>
      </c>
    </row>
    <row r="88" spans="1:30" ht="17" x14ac:dyDescent="0.2">
      <c r="A88" s="119" t="s">
        <v>352</v>
      </c>
      <c r="B88" s="125">
        <v>237.92435772741362</v>
      </c>
      <c r="C88" s="125">
        <v>0</v>
      </c>
      <c r="D88" s="132">
        <v>0.1169</v>
      </c>
      <c r="E88" s="132">
        <v>54.08</v>
      </c>
      <c r="F88" s="132">
        <v>0</v>
      </c>
      <c r="G88" s="132">
        <v>2.01E-2</v>
      </c>
      <c r="H88" s="132">
        <v>5.55</v>
      </c>
      <c r="I88" s="132">
        <v>4.19E-2</v>
      </c>
      <c r="J88" s="132">
        <v>9.2200000000000006</v>
      </c>
      <c r="K88" s="132">
        <v>14.92</v>
      </c>
      <c r="L88" s="132">
        <v>5.39</v>
      </c>
      <c r="M88" s="132">
        <v>9.2799999999999994</v>
      </c>
      <c r="N88" s="132">
        <v>98.618899999999996</v>
      </c>
      <c r="O88" s="77">
        <v>3.2000000000000002E-3</v>
      </c>
      <c r="P88" s="77">
        <v>1.974</v>
      </c>
      <c r="Q88" s="77">
        <v>0</v>
      </c>
      <c r="R88" s="77">
        <v>5.9999999999999995E-4</v>
      </c>
      <c r="S88" s="77">
        <v>0.39300000000000002</v>
      </c>
      <c r="T88" s="77">
        <v>1.1999999999999999E-3</v>
      </c>
      <c r="U88" s="77">
        <v>0.39700000000000002</v>
      </c>
      <c r="V88" s="77">
        <v>0.58299999999999996</v>
      </c>
      <c r="W88" s="77">
        <v>0.16500000000000001</v>
      </c>
      <c r="Y88" s="77">
        <v>0.505</v>
      </c>
      <c r="Z88" s="77">
        <v>4.0220000000000002</v>
      </c>
      <c r="AA88" s="130">
        <f t="shared" si="15"/>
        <v>46.528332003192332</v>
      </c>
      <c r="AB88" s="130">
        <f t="shared" si="16"/>
        <v>40.303272146847561</v>
      </c>
      <c r="AC88" s="130">
        <f t="shared" si="17"/>
        <v>13.168395849960094</v>
      </c>
      <c r="AD88" s="130">
        <f>Y88/(Y88+W88)</f>
        <v>0.75373134328358204</v>
      </c>
    </row>
    <row r="89" spans="1:30" x14ac:dyDescent="0.2">
      <c r="B89" s="125"/>
      <c r="C89" s="125"/>
      <c r="D89" s="132"/>
      <c r="E89" s="132"/>
      <c r="F89" s="132"/>
      <c r="G89" s="132"/>
      <c r="H89" s="132"/>
      <c r="I89" s="132"/>
      <c r="J89" s="132"/>
      <c r="K89" s="132"/>
      <c r="L89" s="132"/>
      <c r="M89" s="132"/>
      <c r="N89" s="132"/>
      <c r="O89" s="77"/>
      <c r="P89" s="77"/>
      <c r="Q89" s="77"/>
      <c r="R89" s="77"/>
      <c r="S89" s="77"/>
      <c r="T89" s="77"/>
      <c r="U89" s="77"/>
      <c r="V89" s="77"/>
      <c r="W89" s="77"/>
      <c r="Y89" s="77"/>
      <c r="Z89" s="77"/>
      <c r="AA89" s="130"/>
      <c r="AB89" s="130"/>
      <c r="AC89" s="130"/>
      <c r="AD89" s="130"/>
    </row>
    <row r="90" spans="1:30" ht="17" x14ac:dyDescent="0.2">
      <c r="A90" s="119" t="s">
        <v>260</v>
      </c>
      <c r="B90" s="125"/>
      <c r="C90" s="125"/>
      <c r="D90" s="131">
        <f>AVERAGE(D73:D88)</f>
        <v>0.10985333333333334</v>
      </c>
      <c r="E90" s="131">
        <f t="shared" ref="E90:AD90" si="21">AVERAGE(E73:E88)</f>
        <v>54.306000000000012</v>
      </c>
      <c r="F90" s="131">
        <f t="shared" si="21"/>
        <v>4.5000000000000005E-3</v>
      </c>
      <c r="G90" s="131">
        <f t="shared" si="21"/>
        <v>1.7440000000000004E-2</v>
      </c>
      <c r="H90" s="131">
        <f t="shared" si="21"/>
        <v>5.7253333333333334</v>
      </c>
      <c r="I90" s="131">
        <f t="shared" si="21"/>
        <v>2.9480000000000003E-2</v>
      </c>
      <c r="J90" s="131">
        <f t="shared" si="21"/>
        <v>9.2820000000000018</v>
      </c>
      <c r="K90" s="131">
        <f t="shared" si="21"/>
        <v>14.884666666666666</v>
      </c>
      <c r="L90" s="131">
        <f t="shared" si="21"/>
        <v>5.3033333333333328</v>
      </c>
      <c r="M90" s="131">
        <f t="shared" si="21"/>
        <v>9.2493333333333343</v>
      </c>
      <c r="N90" s="131">
        <f t="shared" si="21"/>
        <v>98.91201333333332</v>
      </c>
      <c r="O90" s="131">
        <f t="shared" si="21"/>
        <v>3.0000000000000009E-3</v>
      </c>
      <c r="P90" s="131">
        <f t="shared" si="21"/>
        <v>1.9752000000000003</v>
      </c>
      <c r="Q90" s="131">
        <f t="shared" si="21"/>
        <v>2.0666666666666668E-4</v>
      </c>
      <c r="R90" s="131">
        <f t="shared" si="21"/>
        <v>5.4000000000000012E-4</v>
      </c>
      <c r="S90" s="131">
        <f t="shared" si="21"/>
        <v>0.40393333333333337</v>
      </c>
      <c r="T90" s="131">
        <f t="shared" si="21"/>
        <v>8.5333333333333322E-4</v>
      </c>
      <c r="U90" s="131">
        <f t="shared" si="21"/>
        <v>0.39800000000000002</v>
      </c>
      <c r="V90" s="131">
        <f t="shared" si="21"/>
        <v>0.58013333333333328</v>
      </c>
      <c r="W90" s="131">
        <f t="shared" si="21"/>
        <v>0.16159999999999999</v>
      </c>
      <c r="X90" s="131"/>
      <c r="Y90" s="131">
        <f t="shared" si="21"/>
        <v>0.50140000000000007</v>
      </c>
      <c r="Z90" s="131">
        <f t="shared" si="21"/>
        <v>4.0249266666666665</v>
      </c>
      <c r="AA90" s="131">
        <f t="shared" si="21"/>
        <v>46.666968160947818</v>
      </c>
      <c r="AB90" s="131">
        <f t="shared" si="21"/>
        <v>40.334722356807148</v>
      </c>
      <c r="AC90" s="131">
        <f t="shared" si="21"/>
        <v>12.998309482245023</v>
      </c>
      <c r="AD90" s="131">
        <f t="shared" si="21"/>
        <v>0.75627214363754192</v>
      </c>
    </row>
    <row r="91" spans="1:30" x14ac:dyDescent="0.2">
      <c r="B91" s="125"/>
      <c r="C91" s="125"/>
      <c r="D91" s="131"/>
      <c r="E91" s="131"/>
      <c r="F91" s="131"/>
      <c r="G91" s="131"/>
      <c r="H91" s="131"/>
      <c r="I91" s="131"/>
      <c r="J91" s="131"/>
      <c r="K91" s="131"/>
      <c r="L91" s="131"/>
      <c r="M91" s="131"/>
      <c r="N91" s="131"/>
      <c r="O91" s="131"/>
      <c r="P91" s="131"/>
      <c r="Q91" s="131"/>
      <c r="R91" s="131"/>
      <c r="S91" s="131"/>
      <c r="T91" s="131"/>
      <c r="U91" s="131"/>
      <c r="V91" s="131"/>
      <c r="W91" s="131"/>
      <c r="X91" s="131"/>
      <c r="Y91" s="131"/>
      <c r="Z91" s="131"/>
      <c r="AA91" s="131"/>
      <c r="AB91" s="131"/>
      <c r="AC91" s="131"/>
      <c r="AD91" s="131"/>
    </row>
    <row r="92" spans="1:30" ht="17" x14ac:dyDescent="0.2">
      <c r="A92" s="119" t="s">
        <v>353</v>
      </c>
      <c r="B92" s="125">
        <v>0</v>
      </c>
      <c r="C92" s="125">
        <v>-326.99538086925634</v>
      </c>
      <c r="D92" s="132">
        <v>0.1066</v>
      </c>
      <c r="E92" s="132">
        <v>54.54</v>
      </c>
      <c r="F92" s="132">
        <v>0</v>
      </c>
      <c r="G92" s="132">
        <v>3.6600000000000001E-2</v>
      </c>
      <c r="H92" s="132">
        <v>6.15</v>
      </c>
      <c r="I92" s="132">
        <v>1.37E-2</v>
      </c>
      <c r="J92" s="132">
        <v>9.09</v>
      </c>
      <c r="K92" s="132">
        <v>14.29</v>
      </c>
      <c r="L92" s="132">
        <v>6.03</v>
      </c>
      <c r="M92" s="132">
        <v>8.73</v>
      </c>
      <c r="N92" s="132">
        <v>98.986999999999995</v>
      </c>
      <c r="O92" s="77">
        <v>2.8999999999999998E-3</v>
      </c>
      <c r="P92" s="77">
        <v>1.9870000000000001</v>
      </c>
      <c r="Q92" s="77">
        <v>0</v>
      </c>
      <c r="R92" s="77">
        <v>1.1000000000000001E-3</v>
      </c>
      <c r="S92" s="77">
        <v>0.435</v>
      </c>
      <c r="T92" s="77">
        <v>4.0000000000000002E-4</v>
      </c>
      <c r="U92" s="77">
        <v>0.39</v>
      </c>
      <c r="V92" s="77">
        <v>0.55800000000000005</v>
      </c>
      <c r="W92" s="77">
        <v>0.184</v>
      </c>
      <c r="Y92" s="77">
        <v>0.47399999999999998</v>
      </c>
      <c r="Z92" s="77">
        <v>4.0324999999999998</v>
      </c>
      <c r="AA92" s="130">
        <f t="shared" si="15"/>
        <v>45.88815789473685</v>
      </c>
      <c r="AB92" s="130">
        <f t="shared" si="16"/>
        <v>38.98026315789474</v>
      </c>
      <c r="AC92" s="130">
        <f t="shared" si="17"/>
        <v>15.131578947368419</v>
      </c>
      <c r="AD92" s="130">
        <f>Y92/(Y92+W92)</f>
        <v>0.72036474164133746</v>
      </c>
    </row>
    <row r="93" spans="1:30" ht="17" x14ac:dyDescent="0.2">
      <c r="A93" s="119" t="s">
        <v>354</v>
      </c>
      <c r="B93" s="125">
        <v>82.134036793524047</v>
      </c>
      <c r="C93" s="125">
        <v>-244.86134407573229</v>
      </c>
      <c r="D93" s="132">
        <v>0.1132</v>
      </c>
      <c r="E93" s="132">
        <v>54.24</v>
      </c>
      <c r="F93" s="132">
        <v>0</v>
      </c>
      <c r="G93" s="132">
        <v>3.4599999999999999E-2</v>
      </c>
      <c r="H93" s="132">
        <v>6.03</v>
      </c>
      <c r="I93" s="132">
        <v>2.87E-2</v>
      </c>
      <c r="J93" s="132">
        <v>9.3000000000000007</v>
      </c>
      <c r="K93" s="132">
        <v>14.15</v>
      </c>
      <c r="L93" s="132">
        <v>5.9</v>
      </c>
      <c r="M93" s="132">
        <v>8.61</v>
      </c>
      <c r="N93" s="132">
        <v>98.406599999999997</v>
      </c>
      <c r="O93" s="77">
        <v>3.0999999999999999E-3</v>
      </c>
      <c r="P93" s="77">
        <v>1.9850000000000001</v>
      </c>
      <c r="Q93" s="77">
        <v>0</v>
      </c>
      <c r="R93" s="77">
        <v>1.1000000000000001E-3</v>
      </c>
      <c r="S93" s="77">
        <v>0.42799999999999999</v>
      </c>
      <c r="T93" s="77">
        <v>8.0000000000000004E-4</v>
      </c>
      <c r="U93" s="77">
        <v>0.40100000000000002</v>
      </c>
      <c r="V93" s="77">
        <v>0.55500000000000005</v>
      </c>
      <c r="W93" s="77">
        <v>0.18099999999999999</v>
      </c>
      <c r="Y93" s="77">
        <v>0.47</v>
      </c>
      <c r="Z93" s="77">
        <v>4.0251000000000001</v>
      </c>
      <c r="AA93" s="130">
        <f t="shared" si="15"/>
        <v>46.019900497512445</v>
      </c>
      <c r="AB93" s="130">
        <f t="shared" si="16"/>
        <v>38.971807628524047</v>
      </c>
      <c r="AC93" s="130">
        <f t="shared" si="17"/>
        <v>15.008291873963515</v>
      </c>
      <c r="AD93" s="130">
        <f>Y93/(Y93+W93)</f>
        <v>0.72196620583717352</v>
      </c>
    </row>
    <row r="94" spans="1:30" ht="17" x14ac:dyDescent="0.2">
      <c r="A94" s="119" t="s">
        <v>355</v>
      </c>
      <c r="B94" s="125">
        <v>163.52813977402405</v>
      </c>
      <c r="C94" s="125">
        <v>-163.46724109523228</v>
      </c>
      <c r="D94" s="132">
        <v>8.5900000000000004E-2</v>
      </c>
      <c r="E94" s="132">
        <v>54.44</v>
      </c>
      <c r="F94" s="132">
        <v>0</v>
      </c>
      <c r="G94" s="132">
        <v>2.3099999999999999E-2</v>
      </c>
      <c r="H94" s="132">
        <v>6.05</v>
      </c>
      <c r="I94" s="132">
        <v>5.67E-2</v>
      </c>
      <c r="J94" s="132">
        <v>9.2200000000000006</v>
      </c>
      <c r="K94" s="132">
        <v>14.34</v>
      </c>
      <c r="L94" s="132">
        <v>6.04</v>
      </c>
      <c r="M94" s="132">
        <v>8.76</v>
      </c>
      <c r="N94" s="132">
        <v>99.015799999999999</v>
      </c>
      <c r="O94" s="77">
        <v>2.3999999999999998E-3</v>
      </c>
      <c r="P94" s="77">
        <v>1.9830000000000001</v>
      </c>
      <c r="Q94" s="77">
        <v>0</v>
      </c>
      <c r="R94" s="77">
        <v>6.9999999999999999E-4</v>
      </c>
      <c r="S94" s="77">
        <v>0.42699999999999999</v>
      </c>
      <c r="T94" s="77">
        <v>1.6000000000000001E-3</v>
      </c>
      <c r="U94" s="77">
        <v>0.39600000000000002</v>
      </c>
      <c r="V94" s="77">
        <v>0.56000000000000005</v>
      </c>
      <c r="W94" s="77">
        <v>0.184</v>
      </c>
      <c r="Y94" s="77">
        <v>0.47499999999999998</v>
      </c>
      <c r="Z94" s="77">
        <v>4.0297000000000001</v>
      </c>
      <c r="AA94" s="130">
        <f t="shared" si="15"/>
        <v>45.939294503691556</v>
      </c>
      <c r="AB94" s="130">
        <f t="shared" si="16"/>
        <v>38.966365873666938</v>
      </c>
      <c r="AC94" s="130">
        <f t="shared" si="17"/>
        <v>15.094339622641508</v>
      </c>
      <c r="AD94" s="130">
        <f>Y94/(Y94+W94)</f>
        <v>0.72078907435508344</v>
      </c>
    </row>
    <row r="95" spans="1:30" ht="17" x14ac:dyDescent="0.2">
      <c r="A95" s="119" t="s">
        <v>356</v>
      </c>
      <c r="B95" s="125">
        <v>244.92224275451883</v>
      </c>
      <c r="C95" s="125">
        <v>-82.073138114737489</v>
      </c>
      <c r="D95" s="132">
        <v>0.1118</v>
      </c>
      <c r="E95" s="132">
        <v>54.33</v>
      </c>
      <c r="F95" s="132">
        <v>1.5E-3</v>
      </c>
      <c r="G95" s="132">
        <v>1.41E-2</v>
      </c>
      <c r="H95" s="132">
        <v>6.34</v>
      </c>
      <c r="I95" s="132">
        <v>6.0199999999999997E-2</v>
      </c>
      <c r="J95" s="132">
        <v>9.64</v>
      </c>
      <c r="K95" s="132">
        <v>13.9</v>
      </c>
      <c r="L95" s="132">
        <v>6.33</v>
      </c>
      <c r="M95" s="132">
        <v>8.39</v>
      </c>
      <c r="N95" s="132">
        <v>99.117699999999999</v>
      </c>
      <c r="O95" s="77">
        <v>3.0999999999999999E-3</v>
      </c>
      <c r="P95" s="77">
        <v>1.978</v>
      </c>
      <c r="Q95" s="77">
        <v>1E-4</v>
      </c>
      <c r="R95" s="77">
        <v>4.0000000000000002E-4</v>
      </c>
      <c r="S95" s="77">
        <v>0.44700000000000001</v>
      </c>
      <c r="T95" s="77">
        <v>1.6999999999999999E-3</v>
      </c>
      <c r="U95" s="77">
        <v>0.41399999999999998</v>
      </c>
      <c r="V95" s="77">
        <v>0.54200000000000004</v>
      </c>
      <c r="W95" s="77">
        <v>0.193</v>
      </c>
      <c r="Y95" s="77">
        <v>0.45500000000000002</v>
      </c>
      <c r="Z95" s="77">
        <v>4.0343999999999998</v>
      </c>
      <c r="AA95" s="130">
        <f t="shared" si="15"/>
        <v>45.546218487394952</v>
      </c>
      <c r="AB95" s="130">
        <f t="shared" si="16"/>
        <v>38.235294117647051</v>
      </c>
      <c r="AC95" s="130">
        <f t="shared" si="17"/>
        <v>16.218487394957982</v>
      </c>
      <c r="AD95" s="130">
        <f>Y95/(Y95+W95)</f>
        <v>0.7021604938271605</v>
      </c>
    </row>
    <row r="96" spans="1:30" ht="17" x14ac:dyDescent="0.2">
      <c r="A96" s="119" t="s">
        <v>357</v>
      </c>
      <c r="B96" s="125">
        <v>326.99538086925634</v>
      </c>
      <c r="C96" s="125">
        <v>0</v>
      </c>
      <c r="D96" s="132">
        <v>0.1273</v>
      </c>
      <c r="E96" s="132">
        <v>54.35</v>
      </c>
      <c r="F96" s="132">
        <v>0</v>
      </c>
      <c r="G96" s="132">
        <v>2.5600000000000001E-2</v>
      </c>
      <c r="H96" s="132">
        <v>6.38</v>
      </c>
      <c r="I96" s="132">
        <v>1.67E-2</v>
      </c>
      <c r="J96" s="132">
        <v>9.81</v>
      </c>
      <c r="K96" s="132">
        <v>13.96</v>
      </c>
      <c r="L96" s="132">
        <v>6.51</v>
      </c>
      <c r="M96" s="132">
        <v>8.27</v>
      </c>
      <c r="N96" s="132">
        <v>99.449700000000007</v>
      </c>
      <c r="O96" s="77">
        <v>3.5000000000000001E-3</v>
      </c>
      <c r="P96" s="77">
        <v>1.974</v>
      </c>
      <c r="Q96" s="77">
        <v>0</v>
      </c>
      <c r="R96" s="77">
        <v>8.0000000000000004E-4</v>
      </c>
      <c r="S96" s="77">
        <v>0.44900000000000001</v>
      </c>
      <c r="T96" s="77">
        <v>5.0000000000000001E-4</v>
      </c>
      <c r="U96" s="77">
        <v>0.42</v>
      </c>
      <c r="V96" s="77">
        <v>0.54300000000000004</v>
      </c>
      <c r="W96" s="77">
        <v>0.19800000000000001</v>
      </c>
      <c r="Y96" s="77">
        <v>0.44800000000000001</v>
      </c>
      <c r="Z96" s="77">
        <v>4.0368000000000004</v>
      </c>
      <c r="AA96" s="130">
        <f t="shared" si="15"/>
        <v>45.668629100084104</v>
      </c>
      <c r="AB96" s="130">
        <f t="shared" si="16"/>
        <v>37.678721614802356</v>
      </c>
      <c r="AC96" s="130">
        <f t="shared" si="17"/>
        <v>16.65264928511354</v>
      </c>
      <c r="AD96" s="130">
        <f>Y96/(Y96+W96)</f>
        <v>0.69349845201238391</v>
      </c>
    </row>
    <row r="97" spans="1:30" x14ac:dyDescent="0.2">
      <c r="B97" s="125"/>
      <c r="C97" s="125"/>
      <c r="D97" s="131"/>
      <c r="E97" s="131"/>
      <c r="F97" s="131"/>
      <c r="G97" s="131"/>
      <c r="H97" s="131"/>
      <c r="I97" s="131"/>
      <c r="J97" s="131"/>
      <c r="K97" s="131"/>
      <c r="L97" s="131"/>
      <c r="M97" s="131"/>
      <c r="N97" s="131"/>
      <c r="AA97" s="130"/>
      <c r="AB97" s="130"/>
      <c r="AC97" s="130"/>
      <c r="AD97" s="130"/>
    </row>
    <row r="98" spans="1:30" ht="17" x14ac:dyDescent="0.2">
      <c r="A98" s="119" t="s">
        <v>358</v>
      </c>
      <c r="B98" s="125">
        <v>0</v>
      </c>
      <c r="C98" s="125">
        <v>-96.228897863673581</v>
      </c>
      <c r="D98" s="132">
        <v>9.9500000000000005E-2</v>
      </c>
      <c r="E98" s="132">
        <v>54.53</v>
      </c>
      <c r="F98" s="132">
        <v>4.4999999999999997E-3</v>
      </c>
      <c r="G98" s="132">
        <v>4.0000000000000001E-3</v>
      </c>
      <c r="H98" s="132">
        <v>6.24</v>
      </c>
      <c r="I98" s="132">
        <v>2.81E-2</v>
      </c>
      <c r="J98" s="132">
        <v>9.5</v>
      </c>
      <c r="K98" s="132">
        <v>13.73</v>
      </c>
      <c r="L98" s="132">
        <v>5.95</v>
      </c>
      <c r="M98" s="132">
        <v>8.65</v>
      </c>
      <c r="N98" s="132">
        <v>98.736099999999993</v>
      </c>
      <c r="O98" s="77">
        <v>2.7000000000000001E-3</v>
      </c>
      <c r="P98" s="77">
        <v>1.9870000000000001</v>
      </c>
      <c r="Q98" s="77">
        <v>2.0000000000000001E-4</v>
      </c>
      <c r="R98" s="77">
        <v>1E-4</v>
      </c>
      <c r="S98" s="77">
        <v>0.441</v>
      </c>
      <c r="T98" s="77">
        <v>8.0000000000000004E-4</v>
      </c>
      <c r="U98" s="77">
        <v>0.40799999999999997</v>
      </c>
      <c r="V98" s="77">
        <v>0.53600000000000003</v>
      </c>
      <c r="W98" s="77">
        <v>0.18099999999999999</v>
      </c>
      <c r="Y98" s="77">
        <v>0.47</v>
      </c>
      <c r="Z98" s="77">
        <v>4.0267999999999997</v>
      </c>
      <c r="AA98" s="130">
        <f t="shared" si="15"/>
        <v>45.155855096882895</v>
      </c>
      <c r="AB98" s="130">
        <f t="shared" si="16"/>
        <v>39.595619208087612</v>
      </c>
      <c r="AC98" s="130">
        <f t="shared" si="17"/>
        <v>15.248525695029484</v>
      </c>
      <c r="AD98" s="130">
        <f>Y98/(Y98+W98)</f>
        <v>0.72196620583717352</v>
      </c>
    </row>
    <row r="99" spans="1:30" ht="17" x14ac:dyDescent="0.2">
      <c r="A99" s="119" t="s">
        <v>359</v>
      </c>
      <c r="B99" s="125">
        <v>24.351591323769068</v>
      </c>
      <c r="C99" s="125">
        <v>-71.877306539904509</v>
      </c>
      <c r="D99" s="132">
        <v>8.5900000000000004E-2</v>
      </c>
      <c r="E99" s="132">
        <v>54.31</v>
      </c>
      <c r="F99" s="132">
        <v>3.3E-3</v>
      </c>
      <c r="G99" s="132">
        <v>4.0000000000000001E-3</v>
      </c>
      <c r="H99" s="132">
        <v>6.02</v>
      </c>
      <c r="I99" s="132">
        <v>1.3100000000000001E-2</v>
      </c>
      <c r="J99" s="132">
        <v>9.41</v>
      </c>
      <c r="K99" s="132">
        <v>13.77</v>
      </c>
      <c r="L99" s="132">
        <v>5.89</v>
      </c>
      <c r="M99" s="132">
        <v>8.57</v>
      </c>
      <c r="N99" s="132">
        <v>98.076400000000007</v>
      </c>
      <c r="O99" s="77">
        <v>2.3999999999999998E-3</v>
      </c>
      <c r="P99" s="77">
        <v>1.9910000000000001</v>
      </c>
      <c r="Q99" s="77">
        <v>2.0000000000000001E-4</v>
      </c>
      <c r="R99" s="77">
        <v>1E-4</v>
      </c>
      <c r="S99" s="77">
        <v>0.42799999999999999</v>
      </c>
      <c r="T99" s="77">
        <v>4.0000000000000002E-4</v>
      </c>
      <c r="U99" s="77">
        <v>0.40600000000000003</v>
      </c>
      <c r="V99" s="77">
        <v>0.54100000000000004</v>
      </c>
      <c r="W99" s="77">
        <v>0.18099999999999999</v>
      </c>
      <c r="Y99" s="77">
        <v>0.46800000000000003</v>
      </c>
      <c r="Z99" s="77">
        <v>4.0182000000000002</v>
      </c>
      <c r="AA99" s="130">
        <f t="shared" si="15"/>
        <v>45.462184873949575</v>
      </c>
      <c r="AB99" s="130">
        <f t="shared" si="16"/>
        <v>39.32773109243697</v>
      </c>
      <c r="AC99" s="130">
        <f t="shared" si="17"/>
        <v>15.210084033613441</v>
      </c>
      <c r="AD99" s="130">
        <f>Y99/(Y99+W99)</f>
        <v>0.72110939907550076</v>
      </c>
    </row>
    <row r="100" spans="1:30" ht="17" x14ac:dyDescent="0.2">
      <c r="A100" s="119" t="s">
        <v>360</v>
      </c>
      <c r="B100" s="125">
        <v>49.049769394229145</v>
      </c>
      <c r="C100" s="125">
        <v>-47.179128469444422</v>
      </c>
      <c r="D100" s="132">
        <v>0.1178</v>
      </c>
      <c r="E100" s="132">
        <v>54.42</v>
      </c>
      <c r="F100" s="132">
        <v>0</v>
      </c>
      <c r="G100" s="132">
        <v>1.35E-2</v>
      </c>
      <c r="H100" s="132">
        <v>6.2</v>
      </c>
      <c r="I100" s="132">
        <v>1.9099999999999999E-2</v>
      </c>
      <c r="J100" s="132">
        <v>9.57</v>
      </c>
      <c r="K100" s="132">
        <v>13.82</v>
      </c>
      <c r="L100" s="132">
        <v>5.95</v>
      </c>
      <c r="M100" s="132">
        <v>8.5299999999999994</v>
      </c>
      <c r="N100" s="132">
        <v>98.6404</v>
      </c>
      <c r="O100" s="77">
        <v>3.2000000000000002E-3</v>
      </c>
      <c r="P100" s="77">
        <v>1.9850000000000001</v>
      </c>
      <c r="Q100" s="77">
        <v>0</v>
      </c>
      <c r="R100" s="77">
        <v>4.0000000000000002E-4</v>
      </c>
      <c r="S100" s="77">
        <v>0.439</v>
      </c>
      <c r="T100" s="77">
        <v>5.9999999999999995E-4</v>
      </c>
      <c r="U100" s="77">
        <v>0.41199999999999998</v>
      </c>
      <c r="V100" s="77">
        <v>0.54</v>
      </c>
      <c r="W100" s="77">
        <v>0.182</v>
      </c>
      <c r="Y100" s="77">
        <v>0.46400000000000002</v>
      </c>
      <c r="Z100" s="77">
        <v>4.0262000000000002</v>
      </c>
      <c r="AA100" s="130">
        <f t="shared" si="15"/>
        <v>45.531197301854974</v>
      </c>
      <c r="AB100" s="130">
        <f t="shared" si="16"/>
        <v>39.123102866779099</v>
      </c>
      <c r="AC100" s="130">
        <f t="shared" si="17"/>
        <v>15.345699831365936</v>
      </c>
      <c r="AD100" s="130">
        <f>Y100/(Y100+W100)</f>
        <v>0.71826625386996901</v>
      </c>
    </row>
    <row r="101" spans="1:30" ht="17" x14ac:dyDescent="0.2">
      <c r="A101" s="119" t="s">
        <v>361</v>
      </c>
      <c r="B101" s="125">
        <v>72.819498042237285</v>
      </c>
      <c r="C101" s="125">
        <v>-23.409399821436292</v>
      </c>
      <c r="D101" s="132">
        <v>0.1018</v>
      </c>
      <c r="E101" s="132">
        <v>54.08</v>
      </c>
      <c r="F101" s="132">
        <v>8.8000000000000005E-3</v>
      </c>
      <c r="G101" s="132">
        <v>1.4500000000000001E-2</v>
      </c>
      <c r="H101" s="132">
        <v>6.03</v>
      </c>
      <c r="I101" s="132">
        <v>3.4000000000000002E-2</v>
      </c>
      <c r="J101" s="132">
        <v>9.6199999999999992</v>
      </c>
      <c r="K101" s="132">
        <v>13.75</v>
      </c>
      <c r="L101" s="132">
        <v>6.19</v>
      </c>
      <c r="M101" s="132">
        <v>8.43</v>
      </c>
      <c r="N101" s="132">
        <v>98.259200000000007</v>
      </c>
      <c r="O101" s="77">
        <v>2.8E-3</v>
      </c>
      <c r="P101" s="77">
        <v>1.982</v>
      </c>
      <c r="Q101" s="77">
        <v>4.0000000000000002E-4</v>
      </c>
      <c r="R101" s="77">
        <v>5.0000000000000001E-4</v>
      </c>
      <c r="S101" s="77">
        <v>0.42799999999999999</v>
      </c>
      <c r="T101" s="77">
        <v>1E-3</v>
      </c>
      <c r="U101" s="77">
        <v>0.41599999999999998</v>
      </c>
      <c r="V101" s="77">
        <v>0.54</v>
      </c>
      <c r="W101" s="77">
        <v>0.19</v>
      </c>
      <c r="Y101" s="77">
        <v>0.46100000000000002</v>
      </c>
      <c r="Z101" s="77">
        <v>4.0217000000000001</v>
      </c>
      <c r="AA101" s="130">
        <f t="shared" si="15"/>
        <v>45.340050377833748</v>
      </c>
      <c r="AB101" s="130">
        <f t="shared" si="16"/>
        <v>38.706968933669188</v>
      </c>
      <c r="AC101" s="130">
        <f t="shared" si="17"/>
        <v>15.95298068849706</v>
      </c>
      <c r="AD101" s="130">
        <f>Y101/(Y101+W101)</f>
        <v>0.70814132104454686</v>
      </c>
    </row>
    <row r="102" spans="1:30" ht="17" x14ac:dyDescent="0.2">
      <c r="A102" s="119" t="s">
        <v>362</v>
      </c>
      <c r="B102" s="125">
        <v>96.228897863673581</v>
      </c>
      <c r="C102" s="125">
        <v>0</v>
      </c>
      <c r="D102" s="132">
        <v>0.11600000000000001</v>
      </c>
      <c r="E102" s="132">
        <v>54.38</v>
      </c>
      <c r="F102" s="132">
        <v>1.06E-2</v>
      </c>
      <c r="G102" s="132">
        <v>1.0500000000000001E-2</v>
      </c>
      <c r="H102" s="132">
        <v>6.03</v>
      </c>
      <c r="I102" s="132">
        <v>3.2800000000000003E-2</v>
      </c>
      <c r="J102" s="132">
        <v>9.8000000000000007</v>
      </c>
      <c r="K102" s="132">
        <v>13.75</v>
      </c>
      <c r="L102" s="132">
        <v>6.17</v>
      </c>
      <c r="M102" s="132">
        <v>8.2200000000000006</v>
      </c>
      <c r="N102" s="132">
        <v>98.52</v>
      </c>
      <c r="O102" s="77">
        <v>3.2000000000000002E-3</v>
      </c>
      <c r="P102" s="77">
        <v>1.986</v>
      </c>
      <c r="Q102" s="77">
        <v>5.0000000000000001E-4</v>
      </c>
      <c r="R102" s="77">
        <v>2.9999999999999997E-4</v>
      </c>
      <c r="S102" s="77">
        <v>0.42699999999999999</v>
      </c>
      <c r="T102" s="77">
        <v>8.9999999999999998E-4</v>
      </c>
      <c r="U102" s="77">
        <v>0.42199999999999999</v>
      </c>
      <c r="V102" s="77">
        <v>0.53800000000000003</v>
      </c>
      <c r="W102" s="77">
        <v>0.189</v>
      </c>
      <c r="Y102" s="77">
        <v>0.44800000000000001</v>
      </c>
      <c r="Z102" s="77">
        <v>4.0149999999999997</v>
      </c>
      <c r="AA102" s="130">
        <f t="shared" si="15"/>
        <v>45.787234042553195</v>
      </c>
      <c r="AB102" s="130">
        <f t="shared" si="16"/>
        <v>38.12765957446809</v>
      </c>
      <c r="AC102" s="130">
        <f t="shared" si="17"/>
        <v>16.085106382978722</v>
      </c>
      <c r="AD102" s="130">
        <f>Y102/(Y102+W102)</f>
        <v>0.70329670329670335</v>
      </c>
    </row>
    <row r="103" spans="1:30" x14ac:dyDescent="0.2">
      <c r="B103" s="125"/>
      <c r="C103" s="125"/>
      <c r="D103" s="132"/>
      <c r="E103" s="132"/>
      <c r="F103" s="132"/>
      <c r="G103" s="132"/>
      <c r="H103" s="132"/>
      <c r="I103" s="132"/>
      <c r="J103" s="132"/>
      <c r="K103" s="132"/>
      <c r="L103" s="132"/>
      <c r="M103" s="132"/>
      <c r="N103" s="132"/>
      <c r="O103" s="77"/>
      <c r="P103" s="77"/>
      <c r="Q103" s="77"/>
      <c r="R103" s="77"/>
      <c r="S103" s="77"/>
      <c r="T103" s="77"/>
      <c r="U103" s="77"/>
      <c r="V103" s="77"/>
      <c r="W103" s="77"/>
      <c r="Y103" s="77"/>
      <c r="Z103" s="77"/>
      <c r="AA103" s="130"/>
      <c r="AB103" s="130"/>
      <c r="AC103" s="130"/>
      <c r="AD103" s="130"/>
    </row>
    <row r="104" spans="1:30" ht="17" x14ac:dyDescent="0.2">
      <c r="A104" s="119" t="s">
        <v>276</v>
      </c>
      <c r="D104" s="131">
        <f>AVERAGE(D92:D102)</f>
        <v>0.10658000000000001</v>
      </c>
      <c r="E104" s="131">
        <f t="shared" ref="E104:Z104" si="22">AVERAGE(E92:E102)</f>
        <v>54.362000000000009</v>
      </c>
      <c r="F104" s="131">
        <f t="shared" si="22"/>
        <v>2.8699999999999997E-3</v>
      </c>
      <c r="G104" s="131">
        <f t="shared" si="22"/>
        <v>1.8050000000000004E-2</v>
      </c>
      <c r="H104" s="131">
        <f t="shared" si="22"/>
        <v>6.1470000000000002</v>
      </c>
      <c r="I104" s="131">
        <f t="shared" si="22"/>
        <v>3.0309999999999997E-2</v>
      </c>
      <c r="J104" s="131">
        <f t="shared" si="22"/>
        <v>9.4959999999999987</v>
      </c>
      <c r="K104" s="131">
        <f t="shared" si="22"/>
        <v>13.946000000000002</v>
      </c>
      <c r="L104" s="131">
        <f t="shared" si="22"/>
        <v>6.0960000000000001</v>
      </c>
      <c r="M104" s="131">
        <f t="shared" si="22"/>
        <v>8.516</v>
      </c>
      <c r="N104" s="131">
        <f t="shared" si="22"/>
        <v>98.720889999999997</v>
      </c>
      <c r="O104" s="131">
        <f t="shared" si="22"/>
        <v>2.9300000000000003E-3</v>
      </c>
      <c r="P104" s="131">
        <f t="shared" si="22"/>
        <v>1.9838</v>
      </c>
      <c r="Q104" s="131">
        <f t="shared" si="22"/>
        <v>1.3999999999999999E-4</v>
      </c>
      <c r="R104" s="131">
        <f t="shared" si="22"/>
        <v>5.5000000000000014E-4</v>
      </c>
      <c r="S104" s="131">
        <f t="shared" si="22"/>
        <v>0.43489999999999995</v>
      </c>
      <c r="T104" s="131">
        <f t="shared" si="22"/>
        <v>8.7000000000000011E-4</v>
      </c>
      <c r="U104" s="131">
        <f t="shared" si="22"/>
        <v>0.40849999999999997</v>
      </c>
      <c r="V104" s="131">
        <f t="shared" si="22"/>
        <v>0.54530000000000001</v>
      </c>
      <c r="W104" s="131">
        <f t="shared" si="22"/>
        <v>0.18629999999999999</v>
      </c>
      <c r="X104" s="131"/>
      <c r="Y104" s="131">
        <f t="shared" si="22"/>
        <v>0.46329999999999999</v>
      </c>
      <c r="Z104" s="131">
        <f t="shared" si="22"/>
        <v>4.0266400000000004</v>
      </c>
      <c r="AA104" s="131">
        <f>AVERAGE(AA92:AA102)</f>
        <v>45.633872217649426</v>
      </c>
      <c r="AB104" s="131">
        <f t="shared" ref="AB104:AD104" si="23">AVERAGE(AB92:AB102)</f>
        <v>38.771353406797616</v>
      </c>
      <c r="AC104" s="131">
        <f t="shared" si="23"/>
        <v>15.594774375552959</v>
      </c>
      <c r="AD104" s="131">
        <f t="shared" si="23"/>
        <v>0.71315588507970329</v>
      </c>
    </row>
    <row r="105" spans="1:30" x14ac:dyDescent="0.2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131"/>
      <c r="Y105" s="131"/>
      <c r="Z105" s="131"/>
      <c r="AA105" s="131"/>
      <c r="AB105" s="131"/>
      <c r="AC105" s="131"/>
      <c r="AD105" s="131"/>
    </row>
  </sheetData>
  <mergeCells count="3">
    <mergeCell ref="D3:N3"/>
    <mergeCell ref="O3:Z3"/>
    <mergeCell ref="A3:C3"/>
  </mergeCells>
  <phoneticPr fontId="16" type="noConversion"/>
  <pageMargins left="0.75" right="0.75" top="1" bottom="1" header="0.5" footer="0.5"/>
  <pageSetup scale="23" orientation="portrait" horizontalDpi="4294967292" verticalDpi="4294967292"/>
  <rowBreaks count="1" manualBreakCount="1">
    <brk id="112" max="16383" man="1"/>
  </rowBreaks>
  <colBreaks count="1" manualBreakCount="1">
    <brk id="31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S43"/>
  <sheetViews>
    <sheetView zoomScale="90" zoomScaleNormal="90" zoomScalePageLayoutView="75" workbookViewId="0">
      <pane ySplit="4" topLeftCell="A5" activePane="bottomLeft" state="frozen"/>
      <selection pane="bottomLeft" sqref="A1:A2"/>
    </sheetView>
  </sheetViews>
  <sheetFormatPr baseColWidth="10" defaultColWidth="24.1640625" defaultRowHeight="16" x14ac:dyDescent="0.2"/>
  <cols>
    <col min="1" max="16384" width="24.1640625" style="35"/>
  </cols>
  <sheetData>
    <row r="1" spans="1:19" x14ac:dyDescent="0.2">
      <c r="A1" s="116" t="s">
        <v>697</v>
      </c>
    </row>
    <row r="2" spans="1:19" x14ac:dyDescent="0.2">
      <c r="A2" s="117" t="s">
        <v>698</v>
      </c>
    </row>
    <row r="3" spans="1:19" x14ac:dyDescent="0.2">
      <c r="A3" s="133" t="s">
        <v>621</v>
      </c>
      <c r="B3" s="133"/>
      <c r="C3" s="133"/>
      <c r="D3" s="134" t="s">
        <v>363</v>
      </c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</row>
    <row r="4" spans="1:19" ht="17" x14ac:dyDescent="0.2">
      <c r="B4" s="35" t="s">
        <v>364</v>
      </c>
      <c r="C4" s="35" t="s">
        <v>104</v>
      </c>
      <c r="D4" s="35" t="s">
        <v>110</v>
      </c>
      <c r="E4" s="35" t="s">
        <v>365</v>
      </c>
      <c r="F4" s="35" t="s">
        <v>366</v>
      </c>
      <c r="G4" s="35" t="s">
        <v>108</v>
      </c>
      <c r="H4" s="35" t="s">
        <v>109</v>
      </c>
      <c r="I4" s="35" t="s">
        <v>105</v>
      </c>
      <c r="J4" s="35" t="s">
        <v>111</v>
      </c>
      <c r="K4" s="35" t="s">
        <v>112</v>
      </c>
      <c r="L4" s="35" t="s">
        <v>113</v>
      </c>
      <c r="M4" s="35" t="s">
        <v>114</v>
      </c>
      <c r="N4" s="35" t="s">
        <v>106</v>
      </c>
      <c r="O4" s="35" t="s">
        <v>107</v>
      </c>
      <c r="P4" s="35" t="s">
        <v>115</v>
      </c>
      <c r="Q4" s="35" t="s">
        <v>367</v>
      </c>
      <c r="R4" s="35" t="s">
        <v>368</v>
      </c>
      <c r="S4" s="35" t="s">
        <v>50</v>
      </c>
    </row>
    <row r="5" spans="1:19" ht="17" x14ac:dyDescent="0.2">
      <c r="A5" s="35" t="s">
        <v>369</v>
      </c>
      <c r="B5" s="40">
        <v>0</v>
      </c>
      <c r="C5" s="40">
        <v>-122.79715920374986</v>
      </c>
      <c r="D5" s="22">
        <v>1.0395000000000001</v>
      </c>
      <c r="E5" s="22">
        <v>0</v>
      </c>
      <c r="F5" s="22">
        <v>3.0999999999999999E-3</v>
      </c>
      <c r="G5" s="22">
        <v>0</v>
      </c>
      <c r="H5" s="22">
        <v>1.2723</v>
      </c>
      <c r="I5" s="22">
        <v>0</v>
      </c>
      <c r="J5" s="22">
        <v>47.68</v>
      </c>
      <c r="K5" s="22">
        <v>8.89</v>
      </c>
      <c r="L5" s="22">
        <v>2.6</v>
      </c>
      <c r="M5" s="22">
        <v>2.4500000000000002</v>
      </c>
      <c r="N5" s="22">
        <v>29.31</v>
      </c>
      <c r="O5" s="22">
        <v>1.4800000000000001E-2</v>
      </c>
      <c r="P5" s="22">
        <v>93.259799999999998</v>
      </c>
      <c r="Q5" s="22">
        <f t="shared" ref="Q5:Q9" si="0">100-P5</f>
        <v>6.7402000000000015</v>
      </c>
      <c r="R5" s="135" t="s">
        <v>12</v>
      </c>
      <c r="S5" s="135" t="s">
        <v>12</v>
      </c>
    </row>
    <row r="6" spans="1:19" ht="17" x14ac:dyDescent="0.2">
      <c r="A6" s="35" t="s">
        <v>370</v>
      </c>
      <c r="B6" s="40">
        <v>30.999999999998806</v>
      </c>
      <c r="C6" s="40">
        <v>-91.79715920375105</v>
      </c>
      <c r="D6" s="22">
        <v>0.96609999999999996</v>
      </c>
      <c r="E6" s="22">
        <v>0</v>
      </c>
      <c r="F6" s="22">
        <v>1.6000000000000001E-3</v>
      </c>
      <c r="G6" s="22">
        <v>0</v>
      </c>
      <c r="H6" s="22">
        <v>1.0846</v>
      </c>
      <c r="I6" s="22">
        <v>3.3099999999999997E-2</v>
      </c>
      <c r="J6" s="22">
        <v>47.59</v>
      </c>
      <c r="K6" s="22">
        <v>8.8699999999999992</v>
      </c>
      <c r="L6" s="22">
        <v>2.54</v>
      </c>
      <c r="M6" s="22">
        <v>2.44</v>
      </c>
      <c r="N6" s="22">
        <v>29.35</v>
      </c>
      <c r="O6" s="22">
        <v>0</v>
      </c>
      <c r="P6" s="22">
        <v>92.875500000000002</v>
      </c>
      <c r="Q6" s="22">
        <f t="shared" si="0"/>
        <v>7.1244999999999976</v>
      </c>
      <c r="R6" s="135" t="s">
        <v>12</v>
      </c>
      <c r="S6" s="135" t="s">
        <v>12</v>
      </c>
    </row>
    <row r="7" spans="1:19" ht="17" x14ac:dyDescent="0.2">
      <c r="A7" s="35" t="s">
        <v>371</v>
      </c>
      <c r="B7" s="40">
        <v>60.999999999999943</v>
      </c>
      <c r="C7" s="40">
        <v>-61.797159203749914</v>
      </c>
      <c r="D7" s="22">
        <v>1.0490999999999999</v>
      </c>
      <c r="E7" s="22">
        <v>0</v>
      </c>
      <c r="F7" s="22">
        <v>5.4999999999999997E-3</v>
      </c>
      <c r="G7" s="22">
        <v>0</v>
      </c>
      <c r="H7" s="22">
        <v>1.2256</v>
      </c>
      <c r="I7" s="22">
        <v>5.4199999999999998E-2</v>
      </c>
      <c r="J7" s="22">
        <v>47.54</v>
      </c>
      <c r="K7" s="22">
        <v>8.9499999999999993</v>
      </c>
      <c r="L7" s="22">
        <v>2.5299999999999998</v>
      </c>
      <c r="M7" s="22">
        <v>2.39</v>
      </c>
      <c r="N7" s="22">
        <v>29.45</v>
      </c>
      <c r="O7" s="22">
        <v>0</v>
      </c>
      <c r="P7" s="22">
        <v>93.194500000000005</v>
      </c>
      <c r="Q7" s="22">
        <f t="shared" si="0"/>
        <v>6.805499999999995</v>
      </c>
      <c r="R7" s="135" t="s">
        <v>12</v>
      </c>
      <c r="S7" s="135" t="s">
        <v>12</v>
      </c>
    </row>
    <row r="8" spans="1:19" ht="17" x14ac:dyDescent="0.2">
      <c r="A8" s="35" t="s">
        <v>372</v>
      </c>
      <c r="B8" s="40">
        <v>91.016662039608505</v>
      </c>
      <c r="C8" s="40">
        <v>-31.780497164141352</v>
      </c>
      <c r="D8" s="22">
        <v>0.99360000000000004</v>
      </c>
      <c r="E8" s="22">
        <v>0</v>
      </c>
      <c r="F8" s="22">
        <v>8.2000000000000007E-3</v>
      </c>
      <c r="G8" s="22">
        <v>0</v>
      </c>
      <c r="H8" s="22">
        <v>1.1833</v>
      </c>
      <c r="I8" s="22">
        <v>1.8200000000000001E-2</v>
      </c>
      <c r="J8" s="22">
        <v>47.87</v>
      </c>
      <c r="K8" s="22">
        <v>8.8699999999999992</v>
      </c>
      <c r="L8" s="22">
        <v>2.5</v>
      </c>
      <c r="M8" s="22">
        <v>2.4700000000000002</v>
      </c>
      <c r="N8" s="22">
        <v>29.56</v>
      </c>
      <c r="O8" s="22">
        <v>0</v>
      </c>
      <c r="P8" s="22">
        <v>93.473399999999998</v>
      </c>
      <c r="Q8" s="22">
        <f t="shared" si="0"/>
        <v>6.526600000000002</v>
      </c>
      <c r="R8" s="135" t="s">
        <v>12</v>
      </c>
      <c r="S8" s="35">
        <f t="shared" ref="R8:S28" si="1">F8*10000</f>
        <v>82</v>
      </c>
    </row>
    <row r="9" spans="1:19" ht="17" x14ac:dyDescent="0.2">
      <c r="A9" s="35" t="s">
        <v>373</v>
      </c>
      <c r="B9" s="40">
        <v>122.79715920374986</v>
      </c>
      <c r="C9" s="40">
        <v>0</v>
      </c>
      <c r="D9" s="22">
        <v>0.91879999999999995</v>
      </c>
      <c r="E9" s="22">
        <v>0</v>
      </c>
      <c r="F9" s="22">
        <v>1.06E-2</v>
      </c>
      <c r="G9" s="22">
        <v>0</v>
      </c>
      <c r="H9" s="22">
        <v>1.43</v>
      </c>
      <c r="I9" s="22">
        <v>3.3099999999999997E-2</v>
      </c>
      <c r="J9" s="22">
        <v>47.98</v>
      </c>
      <c r="K9" s="22">
        <v>8.77</v>
      </c>
      <c r="L9" s="22">
        <v>2.5099999999999998</v>
      </c>
      <c r="M9" s="22">
        <v>2.4</v>
      </c>
      <c r="N9" s="22">
        <v>29.42</v>
      </c>
      <c r="O9" s="22">
        <v>2.1600000000000001E-2</v>
      </c>
      <c r="P9" s="22">
        <v>93.494100000000003</v>
      </c>
      <c r="Q9" s="22">
        <f t="shared" si="0"/>
        <v>6.5058999999999969</v>
      </c>
      <c r="R9" s="135" t="s">
        <v>12</v>
      </c>
      <c r="S9" s="35">
        <f t="shared" si="1"/>
        <v>106</v>
      </c>
    </row>
    <row r="10" spans="1:19" x14ac:dyDescent="0.2">
      <c r="B10" s="40"/>
      <c r="C10" s="40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135"/>
    </row>
    <row r="11" spans="1:19" ht="17" x14ac:dyDescent="0.2">
      <c r="A11" s="35" t="s">
        <v>141</v>
      </c>
      <c r="B11" s="40"/>
      <c r="C11" s="40"/>
      <c r="D11" s="22">
        <f>AVERAGE(D5:D9)</f>
        <v>0.99342000000000008</v>
      </c>
      <c r="E11" s="22">
        <f t="shared" ref="E11:Q11" si="2">AVERAGE(E5:E9)</f>
        <v>0</v>
      </c>
      <c r="F11" s="22">
        <f t="shared" si="2"/>
        <v>5.7999999999999996E-3</v>
      </c>
      <c r="G11" s="22">
        <f t="shared" si="2"/>
        <v>0</v>
      </c>
      <c r="H11" s="22">
        <f t="shared" si="2"/>
        <v>1.23916</v>
      </c>
      <c r="I11" s="22">
        <f t="shared" si="2"/>
        <v>2.7719999999999995E-2</v>
      </c>
      <c r="J11" s="22">
        <f t="shared" si="2"/>
        <v>47.731999999999999</v>
      </c>
      <c r="K11" s="22">
        <f t="shared" si="2"/>
        <v>8.8699999999999992</v>
      </c>
      <c r="L11" s="22">
        <f t="shared" si="2"/>
        <v>2.536</v>
      </c>
      <c r="M11" s="22">
        <f t="shared" si="2"/>
        <v>2.4300000000000006</v>
      </c>
      <c r="N11" s="22">
        <f t="shared" si="2"/>
        <v>29.417999999999999</v>
      </c>
      <c r="O11" s="22">
        <f t="shared" si="2"/>
        <v>7.28E-3</v>
      </c>
      <c r="P11" s="22">
        <f t="shared" si="2"/>
        <v>93.25945999999999</v>
      </c>
      <c r="Q11" s="22">
        <f t="shared" si="2"/>
        <v>6.7405399999999984</v>
      </c>
      <c r="R11" s="22"/>
      <c r="S11" s="22"/>
    </row>
    <row r="12" spans="1:19" ht="17" x14ac:dyDescent="0.2">
      <c r="B12" s="40"/>
      <c r="C12" s="40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135" t="s">
        <v>12</v>
      </c>
      <c r="S12" s="135" t="s">
        <v>12</v>
      </c>
    </row>
    <row r="13" spans="1:19" ht="17" x14ac:dyDescent="0.2">
      <c r="A13" s="35" t="s">
        <v>374</v>
      </c>
      <c r="B13" s="40">
        <v>0</v>
      </c>
      <c r="C13" s="40">
        <v>-1098.1159362436208</v>
      </c>
      <c r="D13" s="22">
        <v>0.92169999999999996</v>
      </c>
      <c r="E13" s="22">
        <v>0</v>
      </c>
      <c r="F13" s="22">
        <v>7.1000000000000004E-3</v>
      </c>
      <c r="G13" s="22">
        <v>7.4999999999999997E-3</v>
      </c>
      <c r="H13" s="22">
        <v>1.1496</v>
      </c>
      <c r="I13" s="22">
        <v>5.9499999999999997E-2</v>
      </c>
      <c r="J13" s="22">
        <v>48.19</v>
      </c>
      <c r="K13" s="22">
        <v>8.8699999999999992</v>
      </c>
      <c r="L13" s="22">
        <v>1.72</v>
      </c>
      <c r="M13" s="22">
        <v>2.65</v>
      </c>
      <c r="N13" s="22">
        <v>29.43</v>
      </c>
      <c r="O13" s="22">
        <v>1.01E-2</v>
      </c>
      <c r="P13" s="22">
        <v>93.015600000000006</v>
      </c>
      <c r="Q13" s="22">
        <f t="shared" ref="Q13:Q22" si="3">100-P13</f>
        <v>6.9843999999999937</v>
      </c>
      <c r="R13" s="135" t="s">
        <v>12</v>
      </c>
      <c r="S13" s="35">
        <f t="shared" si="1"/>
        <v>71</v>
      </c>
    </row>
    <row r="14" spans="1:19" ht="17" x14ac:dyDescent="0.2">
      <c r="A14" s="35" t="s">
        <v>375</v>
      </c>
      <c r="B14" s="40">
        <v>121.26417442922012</v>
      </c>
      <c r="C14" s="40">
        <v>-976.85176181440079</v>
      </c>
      <c r="D14" s="22">
        <v>0.75680000000000003</v>
      </c>
      <c r="E14" s="22">
        <v>6.4799999999999996E-2</v>
      </c>
      <c r="F14" s="22">
        <v>5.1000000000000004E-3</v>
      </c>
      <c r="G14" s="22">
        <v>5.0000000000000001E-3</v>
      </c>
      <c r="H14" s="22">
        <v>0.9798</v>
      </c>
      <c r="I14" s="22">
        <v>7.0000000000000007E-2</v>
      </c>
      <c r="J14" s="22">
        <v>48.98</v>
      </c>
      <c r="K14" s="22">
        <v>9.26</v>
      </c>
      <c r="L14" s="22">
        <v>1.86</v>
      </c>
      <c r="M14" s="22">
        <v>2.87</v>
      </c>
      <c r="N14" s="22">
        <v>28.76</v>
      </c>
      <c r="O14" s="22">
        <v>0</v>
      </c>
      <c r="P14" s="22">
        <v>93.611599999999996</v>
      </c>
      <c r="Q14" s="22">
        <f t="shared" si="3"/>
        <v>6.3884000000000043</v>
      </c>
      <c r="R14" s="35">
        <f t="shared" si="1"/>
        <v>648</v>
      </c>
      <c r="S14" s="135" t="s">
        <v>12</v>
      </c>
    </row>
    <row r="15" spans="1:19" ht="17" x14ac:dyDescent="0.2">
      <c r="A15" s="35" t="s">
        <v>376</v>
      </c>
      <c r="B15" s="40">
        <v>243.05908401086077</v>
      </c>
      <c r="C15" s="40">
        <v>-855.05685223276009</v>
      </c>
      <c r="D15" s="22">
        <v>0.74180000000000001</v>
      </c>
      <c r="E15" s="22">
        <v>1.5699999999999999E-2</v>
      </c>
      <c r="F15" s="22">
        <v>8.0000000000000004E-4</v>
      </c>
      <c r="G15" s="22">
        <v>0</v>
      </c>
      <c r="H15" s="22">
        <v>0.96130000000000004</v>
      </c>
      <c r="I15" s="22">
        <v>5.2600000000000001E-2</v>
      </c>
      <c r="J15" s="22">
        <v>49.06</v>
      </c>
      <c r="K15" s="22">
        <v>9.2200000000000006</v>
      </c>
      <c r="L15" s="22">
        <v>1.87</v>
      </c>
      <c r="M15" s="22">
        <v>2.91</v>
      </c>
      <c r="N15" s="22">
        <v>28.37</v>
      </c>
      <c r="O15" s="22">
        <v>0</v>
      </c>
      <c r="P15" s="22">
        <v>93.202299999999994</v>
      </c>
      <c r="Q15" s="22">
        <f t="shared" si="3"/>
        <v>6.7977000000000061</v>
      </c>
      <c r="R15" s="35" t="s">
        <v>12</v>
      </c>
      <c r="S15" s="135" t="s">
        <v>12</v>
      </c>
    </row>
    <row r="16" spans="1:19" ht="17" x14ac:dyDescent="0.2">
      <c r="A16" s="35" t="s">
        <v>377</v>
      </c>
      <c r="B16" s="40">
        <v>389.87188999180955</v>
      </c>
      <c r="C16" s="40">
        <v>-708.24404625181137</v>
      </c>
      <c r="D16" s="22">
        <v>0.78359999999999996</v>
      </c>
      <c r="E16" s="22">
        <v>2.3900000000000001E-2</v>
      </c>
      <c r="F16" s="22">
        <v>1.1999999999999999E-3</v>
      </c>
      <c r="G16" s="22">
        <v>2.1499999999999998E-2</v>
      </c>
      <c r="H16" s="22">
        <v>0.99960000000000004</v>
      </c>
      <c r="I16" s="22">
        <v>6.5600000000000006E-2</v>
      </c>
      <c r="J16" s="22">
        <v>49.12</v>
      </c>
      <c r="K16" s="22">
        <v>9.3000000000000007</v>
      </c>
      <c r="L16" s="22">
        <v>1.98</v>
      </c>
      <c r="M16" s="22">
        <v>3</v>
      </c>
      <c r="N16" s="22">
        <v>28.6</v>
      </c>
      <c r="O16" s="22">
        <v>0</v>
      </c>
      <c r="P16" s="22">
        <v>93.895399999999995</v>
      </c>
      <c r="Q16" s="22">
        <f t="shared" si="3"/>
        <v>6.1046000000000049</v>
      </c>
      <c r="R16" s="35" t="s">
        <v>12</v>
      </c>
      <c r="S16" s="135" t="s">
        <v>12</v>
      </c>
    </row>
    <row r="17" spans="1:19" ht="17" x14ac:dyDescent="0.2">
      <c r="A17" s="35" t="s">
        <v>378</v>
      </c>
      <c r="B17" s="40">
        <v>484.74549011323387</v>
      </c>
      <c r="C17" s="40">
        <v>-613.37044613038711</v>
      </c>
      <c r="D17" s="22">
        <v>0.67930000000000001</v>
      </c>
      <c r="E17" s="22">
        <v>6.6799999999999998E-2</v>
      </c>
      <c r="F17" s="22">
        <v>1.0200000000000001E-2</v>
      </c>
      <c r="G17" s="22">
        <v>2E-3</v>
      </c>
      <c r="H17" s="22">
        <v>0.9466</v>
      </c>
      <c r="I17" s="22">
        <v>0.1142</v>
      </c>
      <c r="J17" s="22">
        <v>48.83</v>
      </c>
      <c r="K17" s="22">
        <v>9.2200000000000006</v>
      </c>
      <c r="L17" s="22">
        <v>1.87</v>
      </c>
      <c r="M17" s="22">
        <v>3.05</v>
      </c>
      <c r="N17" s="22">
        <v>28.66</v>
      </c>
      <c r="O17" s="22">
        <v>0</v>
      </c>
      <c r="P17" s="22">
        <v>93.449200000000005</v>
      </c>
      <c r="Q17" s="22">
        <f t="shared" si="3"/>
        <v>6.5507999999999953</v>
      </c>
      <c r="R17" s="35">
        <f t="shared" si="1"/>
        <v>668</v>
      </c>
      <c r="S17" s="35">
        <f t="shared" si="1"/>
        <v>102.00000000000001</v>
      </c>
    </row>
    <row r="18" spans="1:19" ht="17" x14ac:dyDescent="0.2">
      <c r="A18" s="35" t="s">
        <v>379</v>
      </c>
      <c r="B18" s="40">
        <v>609.16815685848599</v>
      </c>
      <c r="C18" s="40">
        <v>-488.94777938513505</v>
      </c>
      <c r="D18" s="22">
        <v>0.61709999999999998</v>
      </c>
      <c r="E18" s="22">
        <v>1.1599999999999999E-2</v>
      </c>
      <c r="F18" s="22">
        <v>1.2500000000000001E-2</v>
      </c>
      <c r="G18" s="22">
        <v>9.4999999999999998E-3</v>
      </c>
      <c r="H18" s="22">
        <v>1.0741000000000001</v>
      </c>
      <c r="I18" s="22">
        <v>7.5600000000000001E-2</v>
      </c>
      <c r="J18" s="22">
        <v>48.98</v>
      </c>
      <c r="K18" s="22">
        <v>9.23</v>
      </c>
      <c r="L18" s="22">
        <v>1.87</v>
      </c>
      <c r="M18" s="22">
        <v>3.02</v>
      </c>
      <c r="N18" s="22">
        <v>28.63</v>
      </c>
      <c r="O18" s="22">
        <v>0</v>
      </c>
      <c r="P18" s="22">
        <v>93.5304</v>
      </c>
      <c r="Q18" s="22">
        <f t="shared" si="3"/>
        <v>6.4695999999999998</v>
      </c>
      <c r="R18" s="35" t="s">
        <v>12</v>
      </c>
      <c r="S18" s="35">
        <f t="shared" si="1"/>
        <v>125</v>
      </c>
    </row>
    <row r="19" spans="1:19" ht="17" x14ac:dyDescent="0.2">
      <c r="A19" s="35" t="s">
        <v>380</v>
      </c>
      <c r="B19" s="40">
        <v>759.78356111714811</v>
      </c>
      <c r="C19" s="40">
        <v>-338.33237512647293</v>
      </c>
      <c r="D19" s="22">
        <v>0.8054</v>
      </c>
      <c r="E19" s="22">
        <v>0</v>
      </c>
      <c r="F19" s="22">
        <v>6.3E-3</v>
      </c>
      <c r="G19" s="22">
        <v>8.0000000000000002E-3</v>
      </c>
      <c r="H19" s="22">
        <v>1.0371999999999999</v>
      </c>
      <c r="I19" s="22">
        <v>3.9600000000000003E-2</v>
      </c>
      <c r="J19" s="22">
        <v>48.98</v>
      </c>
      <c r="K19" s="22">
        <v>9.3000000000000007</v>
      </c>
      <c r="L19" s="22">
        <v>1.99</v>
      </c>
      <c r="M19" s="22">
        <v>2.92</v>
      </c>
      <c r="N19" s="22">
        <v>28.75</v>
      </c>
      <c r="O19" s="22">
        <v>6.8999999999999999E-3</v>
      </c>
      <c r="P19" s="22">
        <v>93.843500000000006</v>
      </c>
      <c r="Q19" s="22">
        <f t="shared" si="3"/>
        <v>6.1564999999999941</v>
      </c>
      <c r="R19" s="135" t="s">
        <v>12</v>
      </c>
      <c r="S19" s="35">
        <f t="shared" si="1"/>
        <v>63</v>
      </c>
    </row>
    <row r="20" spans="1:19" ht="17" x14ac:dyDescent="0.2">
      <c r="A20" s="35" t="s">
        <v>381</v>
      </c>
      <c r="B20" s="40">
        <v>855.05685223275657</v>
      </c>
      <c r="C20" s="40">
        <v>-243.05908401086447</v>
      </c>
      <c r="D20" s="22">
        <v>0.90229999999999999</v>
      </c>
      <c r="E20" s="22">
        <v>0</v>
      </c>
      <c r="F20" s="22">
        <v>1.14E-2</v>
      </c>
      <c r="G20" s="22">
        <v>3.0000000000000001E-3</v>
      </c>
      <c r="H20" s="22">
        <v>1.0721000000000001</v>
      </c>
      <c r="I20" s="22">
        <v>5.8799999999999998E-2</v>
      </c>
      <c r="J20" s="22">
        <v>48.42</v>
      </c>
      <c r="K20" s="22">
        <v>9.1999999999999993</v>
      </c>
      <c r="L20" s="22">
        <v>1.89</v>
      </c>
      <c r="M20" s="22">
        <v>2.75</v>
      </c>
      <c r="N20" s="22">
        <v>29.02</v>
      </c>
      <c r="O20" s="22">
        <v>0</v>
      </c>
      <c r="P20" s="22">
        <v>93.327699999999993</v>
      </c>
      <c r="Q20" s="22">
        <f t="shared" si="3"/>
        <v>6.672300000000007</v>
      </c>
      <c r="R20" s="135" t="s">
        <v>12</v>
      </c>
      <c r="S20" s="35">
        <f t="shared" si="1"/>
        <v>114</v>
      </c>
    </row>
    <row r="21" spans="1:19" ht="17" x14ac:dyDescent="0.2">
      <c r="A21" s="35" t="s">
        <v>382</v>
      </c>
      <c r="B21" s="40">
        <v>976.85176181440102</v>
      </c>
      <c r="C21" s="40">
        <v>-121.26417442922002</v>
      </c>
      <c r="D21" s="22">
        <v>0.9597</v>
      </c>
      <c r="E21" s="22">
        <v>4.02E-2</v>
      </c>
      <c r="F21" s="22">
        <v>0</v>
      </c>
      <c r="G21" s="22">
        <v>0</v>
      </c>
      <c r="H21" s="22">
        <v>1.1785000000000001</v>
      </c>
      <c r="I21" s="22">
        <v>5.2600000000000001E-2</v>
      </c>
      <c r="J21" s="22">
        <v>48.13</v>
      </c>
      <c r="K21" s="22">
        <v>9.08</v>
      </c>
      <c r="L21" s="22">
        <v>1.9</v>
      </c>
      <c r="M21" s="22">
        <v>2.64</v>
      </c>
      <c r="N21" s="22">
        <v>29.43</v>
      </c>
      <c r="O21" s="22">
        <v>0</v>
      </c>
      <c r="P21" s="22">
        <v>93.411100000000005</v>
      </c>
      <c r="Q21" s="22">
        <f t="shared" si="3"/>
        <v>6.5888999999999953</v>
      </c>
      <c r="R21" s="35" t="s">
        <v>12</v>
      </c>
      <c r="S21" s="135" t="s">
        <v>12</v>
      </c>
    </row>
    <row r="22" spans="1:19" ht="17" x14ac:dyDescent="0.2">
      <c r="A22" s="35" t="s">
        <v>383</v>
      </c>
      <c r="B22" s="40">
        <v>1098.115936243621</v>
      </c>
      <c r="C22" s="40">
        <v>0</v>
      </c>
      <c r="D22" s="22">
        <v>0.87929999999999997</v>
      </c>
      <c r="E22" s="22">
        <v>0</v>
      </c>
      <c r="F22" s="22">
        <v>7.1000000000000004E-3</v>
      </c>
      <c r="G22" s="22">
        <v>0</v>
      </c>
      <c r="H22" s="22">
        <v>1.2859</v>
      </c>
      <c r="I22" s="22">
        <v>1.84E-2</v>
      </c>
      <c r="J22" s="22">
        <v>48.01</v>
      </c>
      <c r="K22" s="22">
        <v>8.93</v>
      </c>
      <c r="L22" s="22">
        <v>1.77</v>
      </c>
      <c r="M22" s="22">
        <v>2.56</v>
      </c>
      <c r="N22" s="22">
        <v>29.84</v>
      </c>
      <c r="O22" s="22">
        <v>2.5000000000000001E-3</v>
      </c>
      <c r="P22" s="22">
        <v>93.303299999999993</v>
      </c>
      <c r="Q22" s="22">
        <f t="shared" si="3"/>
        <v>6.696700000000007</v>
      </c>
      <c r="R22" s="135" t="s">
        <v>12</v>
      </c>
      <c r="S22" s="35">
        <f t="shared" si="1"/>
        <v>71</v>
      </c>
    </row>
    <row r="23" spans="1:19" x14ac:dyDescent="0.2">
      <c r="B23" s="40"/>
      <c r="C23" s="40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135"/>
    </row>
    <row r="24" spans="1:19" ht="17" x14ac:dyDescent="0.2">
      <c r="A24" s="35" t="s">
        <v>308</v>
      </c>
      <c r="B24" s="40"/>
      <c r="C24" s="40"/>
      <c r="D24" s="22">
        <f>AVERAGE(D13:D22)</f>
        <v>0.80470000000000008</v>
      </c>
      <c r="E24" s="22">
        <f t="shared" ref="E24:P24" si="4">AVERAGE(E13:E22)</f>
        <v>2.2299999999999997E-2</v>
      </c>
      <c r="F24" s="22">
        <f t="shared" si="4"/>
        <v>6.1700000000000001E-3</v>
      </c>
      <c r="G24" s="22">
        <f t="shared" si="4"/>
        <v>5.6500000000000005E-3</v>
      </c>
      <c r="H24" s="22">
        <f t="shared" si="4"/>
        <v>1.06847</v>
      </c>
      <c r="I24" s="22">
        <f t="shared" si="4"/>
        <v>6.0690000000000001E-2</v>
      </c>
      <c r="J24" s="22">
        <f t="shared" si="4"/>
        <v>48.67</v>
      </c>
      <c r="K24" s="22">
        <f t="shared" si="4"/>
        <v>9.1610000000000014</v>
      </c>
      <c r="L24" s="22">
        <f t="shared" si="4"/>
        <v>1.8720000000000003</v>
      </c>
      <c r="M24" s="22">
        <f t="shared" si="4"/>
        <v>2.8370000000000002</v>
      </c>
      <c r="N24" s="22">
        <f t="shared" si="4"/>
        <v>28.948999999999995</v>
      </c>
      <c r="O24" s="22">
        <f t="shared" si="4"/>
        <v>1.9499999999999999E-3</v>
      </c>
      <c r="P24" s="22">
        <f t="shared" si="4"/>
        <v>93.459010000000006</v>
      </c>
      <c r="Q24" s="22"/>
      <c r="R24" s="135"/>
    </row>
    <row r="25" spans="1:19" x14ac:dyDescent="0.2">
      <c r="B25" s="40"/>
      <c r="C25" s="40"/>
      <c r="Q25" s="22"/>
    </row>
    <row r="26" spans="1:19" ht="17" x14ac:dyDescent="0.2">
      <c r="A26" s="35" t="s">
        <v>384</v>
      </c>
      <c r="B26" s="40">
        <v>0</v>
      </c>
      <c r="C26" s="40">
        <v>-1107.5928681078021</v>
      </c>
      <c r="D26" s="3">
        <v>0.75270000000000004</v>
      </c>
      <c r="E26" s="3">
        <v>5.1900000000000002E-2</v>
      </c>
      <c r="F26" s="3">
        <v>0</v>
      </c>
      <c r="G26" s="3">
        <v>0</v>
      </c>
      <c r="H26" s="3">
        <v>1.2035</v>
      </c>
      <c r="I26" s="3">
        <v>6.3299999999999995E-2</v>
      </c>
      <c r="J26" s="88">
        <v>48.42</v>
      </c>
      <c r="K26" s="22">
        <v>9.09</v>
      </c>
      <c r="L26" s="88">
        <v>2.3199999999999998</v>
      </c>
      <c r="M26" s="88">
        <v>2.83</v>
      </c>
      <c r="N26" s="5">
        <v>29.13</v>
      </c>
      <c r="O26" s="88">
        <v>0</v>
      </c>
      <c r="P26" s="22">
        <v>93.861500000000007</v>
      </c>
      <c r="Q26" s="22">
        <v>6.1384999999999934</v>
      </c>
      <c r="R26" s="35">
        <f t="shared" si="1"/>
        <v>519</v>
      </c>
      <c r="S26" s="35" t="s">
        <v>12</v>
      </c>
    </row>
    <row r="27" spans="1:19" ht="17" x14ac:dyDescent="0.2">
      <c r="A27" s="35" t="s">
        <v>385</v>
      </c>
      <c r="B27" s="40">
        <v>276.64417579266501</v>
      </c>
      <c r="C27" s="40">
        <v>-830.94869231513712</v>
      </c>
      <c r="D27" s="3">
        <v>0.73070000000000002</v>
      </c>
      <c r="E27" s="3">
        <v>0</v>
      </c>
      <c r="F27" s="3">
        <v>0</v>
      </c>
      <c r="G27" s="3">
        <v>5.0000000000000001E-4</v>
      </c>
      <c r="H27" s="3">
        <v>1.0615000000000001</v>
      </c>
      <c r="I27" s="3">
        <v>5.4800000000000001E-2</v>
      </c>
      <c r="J27" s="88">
        <v>48.4</v>
      </c>
      <c r="K27" s="22">
        <v>9.18</v>
      </c>
      <c r="L27" s="88">
        <v>2.36</v>
      </c>
      <c r="M27" s="88">
        <v>2.92</v>
      </c>
      <c r="N27" s="5">
        <v>28.87</v>
      </c>
      <c r="O27" s="88">
        <v>0</v>
      </c>
      <c r="P27" s="22">
        <v>93.577600000000004</v>
      </c>
      <c r="Q27" s="22">
        <v>6.4223999999999961</v>
      </c>
      <c r="R27" s="135" t="s">
        <v>12</v>
      </c>
      <c r="S27" s="35" t="s">
        <v>12</v>
      </c>
    </row>
    <row r="28" spans="1:19" ht="17" x14ac:dyDescent="0.2">
      <c r="A28" s="35" t="s">
        <v>386</v>
      </c>
      <c r="B28" s="40">
        <v>553.0153030834847</v>
      </c>
      <c r="C28" s="40">
        <v>-554.57756502431755</v>
      </c>
      <c r="D28" s="3">
        <v>0.69369999999999998</v>
      </c>
      <c r="E28" s="3">
        <v>4.3400000000000001E-2</v>
      </c>
      <c r="F28" s="3">
        <v>4.4000000000000003E-3</v>
      </c>
      <c r="G28" s="3">
        <v>6.4999999999999997E-3</v>
      </c>
      <c r="H28" s="3">
        <v>1.0063</v>
      </c>
      <c r="I28" s="3">
        <v>2.9000000000000001E-2</v>
      </c>
      <c r="J28" s="88">
        <v>48.77</v>
      </c>
      <c r="K28" s="22">
        <v>9.1300000000000008</v>
      </c>
      <c r="L28" s="88">
        <v>2.2799999999999998</v>
      </c>
      <c r="M28" s="88">
        <v>2.85</v>
      </c>
      <c r="N28" s="5">
        <v>28.96</v>
      </c>
      <c r="O28" s="88">
        <v>5.4000000000000003E-3</v>
      </c>
      <c r="P28" s="22">
        <v>93.778800000000004</v>
      </c>
      <c r="Q28" s="22">
        <v>6.2211999999999961</v>
      </c>
      <c r="R28" s="35">
        <f t="shared" si="1"/>
        <v>434</v>
      </c>
      <c r="S28" s="35" t="s">
        <v>12</v>
      </c>
    </row>
    <row r="29" spans="1:19" ht="17" x14ac:dyDescent="0.2">
      <c r="A29" s="35" t="s">
        <v>387</v>
      </c>
      <c r="B29" s="40">
        <v>863.46175579312876</v>
      </c>
      <c r="C29" s="40">
        <v>-244.13111231467357</v>
      </c>
      <c r="D29" s="3">
        <v>0.74870000000000003</v>
      </c>
      <c r="E29" s="3">
        <v>0</v>
      </c>
      <c r="F29" s="3">
        <v>0</v>
      </c>
      <c r="G29" s="3">
        <v>4.4999999999999997E-3</v>
      </c>
      <c r="H29" s="3">
        <v>1.1225000000000001</v>
      </c>
      <c r="I29" s="3">
        <v>1.2800000000000001E-2</v>
      </c>
      <c r="J29" s="88">
        <v>48.76</v>
      </c>
      <c r="K29" s="22">
        <v>9.15</v>
      </c>
      <c r="L29" s="88">
        <v>2.36</v>
      </c>
      <c r="M29" s="88">
        <v>2.76</v>
      </c>
      <c r="N29" s="5">
        <v>29.32</v>
      </c>
      <c r="O29" s="88">
        <v>1.0699999999999999E-2</v>
      </c>
      <c r="P29" s="22">
        <v>94.249300000000005</v>
      </c>
      <c r="Q29" s="22">
        <v>5.7506999999999948</v>
      </c>
      <c r="R29" s="135" t="s">
        <v>12</v>
      </c>
      <c r="S29" s="35" t="s">
        <v>12</v>
      </c>
    </row>
    <row r="30" spans="1:19" ht="17" x14ac:dyDescent="0.2">
      <c r="A30" s="35" t="s">
        <v>388</v>
      </c>
      <c r="B30" s="40">
        <v>1107.5928681078024</v>
      </c>
      <c r="C30" s="40">
        <v>0</v>
      </c>
      <c r="D30" s="3">
        <v>0.69079999999999997</v>
      </c>
      <c r="E30" s="3">
        <v>0</v>
      </c>
      <c r="F30" s="3">
        <v>0</v>
      </c>
      <c r="G30" s="3">
        <v>4.0000000000000001E-3</v>
      </c>
      <c r="H30" s="3">
        <v>1.0919000000000001</v>
      </c>
      <c r="I30" s="3">
        <v>6.7500000000000004E-2</v>
      </c>
      <c r="J30" s="88">
        <v>48.66</v>
      </c>
      <c r="K30" s="22">
        <v>9.2100000000000009</v>
      </c>
      <c r="L30" s="88">
        <v>2.2400000000000002</v>
      </c>
      <c r="M30" s="88">
        <v>2.73</v>
      </c>
      <c r="N30" s="5">
        <v>29.27</v>
      </c>
      <c r="O30" s="88">
        <v>0</v>
      </c>
      <c r="P30" s="22">
        <v>93.964200000000005</v>
      </c>
      <c r="Q30" s="22">
        <v>6.0357999999999947</v>
      </c>
      <c r="R30" s="135" t="s">
        <v>12</v>
      </c>
      <c r="S30" s="35" t="s">
        <v>12</v>
      </c>
    </row>
    <row r="31" spans="1:19" x14ac:dyDescent="0.2">
      <c r="B31" s="40"/>
      <c r="C31" s="40"/>
      <c r="D31" s="3"/>
      <c r="E31" s="3"/>
      <c r="F31" s="3"/>
      <c r="G31" s="3"/>
      <c r="H31" s="3"/>
      <c r="I31" s="3"/>
      <c r="J31" s="88"/>
      <c r="K31" s="22"/>
      <c r="L31" s="88"/>
      <c r="M31" s="88"/>
      <c r="N31" s="5"/>
      <c r="O31" s="88"/>
      <c r="P31" s="22"/>
      <c r="Q31" s="22"/>
    </row>
    <row r="32" spans="1:19" ht="17" x14ac:dyDescent="0.2">
      <c r="A32" s="35" t="s">
        <v>389</v>
      </c>
      <c r="B32" s="40">
        <v>0</v>
      </c>
      <c r="C32" s="40">
        <v>-304.62413655488859</v>
      </c>
      <c r="D32" s="3">
        <v>0.63729999999999998</v>
      </c>
      <c r="E32" s="3">
        <v>0</v>
      </c>
      <c r="F32" s="3">
        <v>0</v>
      </c>
      <c r="G32" s="3">
        <v>0</v>
      </c>
      <c r="H32" s="3">
        <v>1.1434</v>
      </c>
      <c r="I32" s="3">
        <v>6.8699999999999997E-2</v>
      </c>
      <c r="J32" s="88">
        <v>48.3</v>
      </c>
      <c r="K32" s="88">
        <v>9.18</v>
      </c>
      <c r="L32" s="88">
        <v>2.37</v>
      </c>
      <c r="M32" s="88">
        <v>2.92</v>
      </c>
      <c r="N32" s="5">
        <v>28.53</v>
      </c>
      <c r="O32" s="88">
        <v>0</v>
      </c>
      <c r="P32" s="22">
        <v>93.149500000000003</v>
      </c>
      <c r="Q32" s="22">
        <v>6.8504999999999967</v>
      </c>
      <c r="R32" s="135" t="s">
        <v>12</v>
      </c>
      <c r="S32" s="135" t="s">
        <v>12</v>
      </c>
    </row>
    <row r="33" spans="1:19" ht="17" x14ac:dyDescent="0.2">
      <c r="A33" s="35" t="s">
        <v>390</v>
      </c>
      <c r="B33" s="40">
        <v>29.410882339698063</v>
      </c>
      <c r="C33" s="40">
        <v>-275.21325421519055</v>
      </c>
      <c r="D33" s="3">
        <v>0.5806</v>
      </c>
      <c r="E33" s="3">
        <v>0</v>
      </c>
      <c r="F33" s="3">
        <v>0</v>
      </c>
      <c r="G33" s="3">
        <v>8.5000000000000006E-3</v>
      </c>
      <c r="H33" s="3">
        <v>0.96579999999999999</v>
      </c>
      <c r="I33" s="3">
        <v>5.5500000000000001E-2</v>
      </c>
      <c r="J33" s="88">
        <v>49.13</v>
      </c>
      <c r="K33" s="88">
        <v>9.2799999999999994</v>
      </c>
      <c r="L33" s="88">
        <v>2.42</v>
      </c>
      <c r="M33" s="88">
        <v>3.05</v>
      </c>
      <c r="N33" s="5">
        <v>28.17</v>
      </c>
      <c r="O33" s="88">
        <v>6.1000000000000004E-3</v>
      </c>
      <c r="P33" s="22">
        <v>93.666499999999999</v>
      </c>
      <c r="Q33" s="22">
        <v>6.3335000000000008</v>
      </c>
      <c r="R33" s="135" t="s">
        <v>12</v>
      </c>
      <c r="S33" s="135" t="s">
        <v>12</v>
      </c>
    </row>
    <row r="34" spans="1:19" ht="17" x14ac:dyDescent="0.2">
      <c r="A34" s="35" t="s">
        <v>391</v>
      </c>
      <c r="B34" s="40">
        <v>67.699261777857686</v>
      </c>
      <c r="C34" s="40">
        <v>-236.92487477703094</v>
      </c>
      <c r="D34" s="3">
        <v>0.61550000000000005</v>
      </c>
      <c r="E34" s="3">
        <v>0</v>
      </c>
      <c r="F34" s="3">
        <v>0</v>
      </c>
      <c r="G34" s="3">
        <v>1E-3</v>
      </c>
      <c r="H34" s="3">
        <v>1.0287999999999999</v>
      </c>
      <c r="I34" s="3">
        <v>4.5900000000000003E-2</v>
      </c>
      <c r="J34" s="88">
        <v>48.94</v>
      </c>
      <c r="K34" s="88">
        <v>9.34</v>
      </c>
      <c r="L34" s="88">
        <v>2.46</v>
      </c>
      <c r="M34" s="88">
        <v>3.11</v>
      </c>
      <c r="N34" s="5">
        <v>28.05</v>
      </c>
      <c r="O34" s="88">
        <v>0</v>
      </c>
      <c r="P34" s="22">
        <v>93.591200000000001</v>
      </c>
      <c r="Q34" s="22">
        <v>6.4087999999999994</v>
      </c>
      <c r="R34" s="135" t="s">
        <v>12</v>
      </c>
      <c r="S34" s="135" t="s">
        <v>12</v>
      </c>
    </row>
    <row r="35" spans="1:19" ht="17" x14ac:dyDescent="0.2">
      <c r="A35" s="35" t="s">
        <v>392</v>
      </c>
      <c r="B35" s="40">
        <v>101.12081171199208</v>
      </c>
      <c r="C35" s="40">
        <v>-203.50332484289655</v>
      </c>
      <c r="D35" s="3">
        <v>0.63449999999999995</v>
      </c>
      <c r="E35" s="3">
        <v>0</v>
      </c>
      <c r="F35" s="3">
        <v>0</v>
      </c>
      <c r="G35" s="3">
        <v>5.4999999999999997E-3</v>
      </c>
      <c r="H35" s="3">
        <v>1.0415000000000001</v>
      </c>
      <c r="I35" s="3">
        <v>3.5099999999999999E-2</v>
      </c>
      <c r="J35" s="88">
        <v>49.08</v>
      </c>
      <c r="K35" s="88">
        <v>9.32</v>
      </c>
      <c r="L35" s="88">
        <v>2.31</v>
      </c>
      <c r="M35" s="88">
        <v>3.01</v>
      </c>
      <c r="N35" s="5">
        <v>28.39</v>
      </c>
      <c r="O35" s="88">
        <v>9.7000000000000003E-3</v>
      </c>
      <c r="P35" s="22">
        <v>93.836399999999998</v>
      </c>
      <c r="Q35" s="22">
        <v>6.1636000000000024</v>
      </c>
      <c r="R35" s="135" t="s">
        <v>12</v>
      </c>
      <c r="S35" s="135" t="s">
        <v>12</v>
      </c>
    </row>
    <row r="36" spans="1:19" ht="17" x14ac:dyDescent="0.2">
      <c r="A36" s="35" t="s">
        <v>393</v>
      </c>
      <c r="B36" s="40">
        <v>135.94896124652789</v>
      </c>
      <c r="C36" s="40">
        <v>-168.67517530836074</v>
      </c>
      <c r="D36" s="3">
        <v>0.53320000000000001</v>
      </c>
      <c r="E36" s="3">
        <v>0</v>
      </c>
      <c r="F36" s="3">
        <v>1.1999999999999999E-3</v>
      </c>
      <c r="G36" s="3">
        <v>1.5E-3</v>
      </c>
      <c r="H36" s="3">
        <v>0.99939999999999996</v>
      </c>
      <c r="I36" s="3">
        <v>2.8400000000000002E-2</v>
      </c>
      <c r="J36" s="88">
        <v>48.98</v>
      </c>
      <c r="K36" s="88">
        <v>9.1300000000000008</v>
      </c>
      <c r="L36" s="88">
        <v>2.4700000000000002</v>
      </c>
      <c r="M36" s="88">
        <v>3.36</v>
      </c>
      <c r="N36" s="5">
        <v>27.91</v>
      </c>
      <c r="O36" s="88">
        <v>2.86E-2</v>
      </c>
      <c r="P36" s="22">
        <v>93.442400000000006</v>
      </c>
      <c r="Q36" s="22">
        <v>6.5575999999999937</v>
      </c>
      <c r="R36" s="135" t="s">
        <v>12</v>
      </c>
      <c r="S36" s="135" t="s">
        <v>12</v>
      </c>
    </row>
    <row r="37" spans="1:19" ht="17" x14ac:dyDescent="0.2">
      <c r="A37" s="35" t="s">
        <v>394</v>
      </c>
      <c r="B37" s="40">
        <v>169.37051118066779</v>
      </c>
      <c r="C37" s="40">
        <v>-135.2536253742208</v>
      </c>
      <c r="D37" s="3">
        <v>0.56630000000000003</v>
      </c>
      <c r="E37" s="3">
        <v>0</v>
      </c>
      <c r="F37" s="3">
        <v>0</v>
      </c>
      <c r="G37" s="3">
        <v>5.0000000000000001E-3</v>
      </c>
      <c r="H37" s="3">
        <v>0.94240000000000002</v>
      </c>
      <c r="I37" s="3">
        <v>5.5800000000000002E-2</v>
      </c>
      <c r="J37" s="88">
        <v>49.15</v>
      </c>
      <c r="K37" s="88">
        <v>9.41</v>
      </c>
      <c r="L37" s="88">
        <v>2.4700000000000002</v>
      </c>
      <c r="M37" s="88">
        <v>3.04</v>
      </c>
      <c r="N37" s="5">
        <v>28.27</v>
      </c>
      <c r="O37" s="88">
        <v>0</v>
      </c>
      <c r="P37" s="22">
        <v>93.909599999999998</v>
      </c>
      <c r="Q37" s="22">
        <v>6.0904000000000025</v>
      </c>
      <c r="R37" s="135" t="s">
        <v>12</v>
      </c>
      <c r="S37" s="135" t="s">
        <v>12</v>
      </c>
    </row>
    <row r="38" spans="1:19" ht="17" x14ac:dyDescent="0.2">
      <c r="A38" s="35" t="s">
        <v>395</v>
      </c>
      <c r="B38" s="40">
        <v>202.79206111480218</v>
      </c>
      <c r="C38" s="40">
        <v>-101.83207544008641</v>
      </c>
      <c r="D38" s="3">
        <v>0.59299999999999997</v>
      </c>
      <c r="E38" s="3">
        <v>0</v>
      </c>
      <c r="F38" s="3">
        <v>0</v>
      </c>
      <c r="G38" s="3">
        <v>3.5000000000000001E-3</v>
      </c>
      <c r="H38" s="3">
        <v>0.89239999999999997</v>
      </c>
      <c r="I38" s="3">
        <v>5.8799999999999998E-2</v>
      </c>
      <c r="J38" s="88">
        <v>49.15</v>
      </c>
      <c r="K38" s="88">
        <v>9.3800000000000008</v>
      </c>
      <c r="L38" s="88">
        <v>2.4300000000000002</v>
      </c>
      <c r="M38" s="88">
        <v>3.05</v>
      </c>
      <c r="N38" s="5">
        <v>28.25</v>
      </c>
      <c r="O38" s="88">
        <v>0</v>
      </c>
      <c r="P38" s="22">
        <v>93.8078</v>
      </c>
      <c r="Q38" s="22">
        <v>6.1921999999999997</v>
      </c>
      <c r="R38" s="135" t="s">
        <v>12</v>
      </c>
      <c r="S38" s="135" t="s">
        <v>12</v>
      </c>
    </row>
    <row r="39" spans="1:19" ht="17" x14ac:dyDescent="0.2">
      <c r="A39" s="35" t="s">
        <v>396</v>
      </c>
      <c r="B39" s="40">
        <v>236.99732386777325</v>
      </c>
      <c r="C39" s="40">
        <v>-67.626812687115347</v>
      </c>
      <c r="D39" s="3">
        <v>0.58460000000000001</v>
      </c>
      <c r="E39" s="3">
        <v>0</v>
      </c>
      <c r="F39" s="3">
        <v>3.3E-3</v>
      </c>
      <c r="G39" s="3">
        <v>4.4999999999999997E-3</v>
      </c>
      <c r="H39" s="3">
        <v>0.93979999999999997</v>
      </c>
      <c r="I39" s="3">
        <v>5.8200000000000002E-2</v>
      </c>
      <c r="J39" s="88">
        <v>49.23</v>
      </c>
      <c r="K39" s="88">
        <v>9.4700000000000006</v>
      </c>
      <c r="L39" s="88">
        <v>2.5299999999999998</v>
      </c>
      <c r="M39" s="88">
        <v>2.98</v>
      </c>
      <c r="N39" s="5">
        <v>28.09</v>
      </c>
      <c r="O39" s="88">
        <v>0</v>
      </c>
      <c r="P39" s="22">
        <v>93.8904</v>
      </c>
      <c r="Q39" s="22">
        <v>6.1096000000000004</v>
      </c>
      <c r="R39" s="135" t="s">
        <v>12</v>
      </c>
      <c r="S39" s="135" t="s">
        <v>12</v>
      </c>
    </row>
    <row r="40" spans="1:19" ht="17" x14ac:dyDescent="0.2">
      <c r="A40" s="35" t="s">
        <v>397</v>
      </c>
      <c r="B40" s="40">
        <v>270.41887380191315</v>
      </c>
      <c r="C40" s="40">
        <v>-34.205262752975436</v>
      </c>
      <c r="D40" s="3">
        <v>0.53480000000000005</v>
      </c>
      <c r="E40" s="3">
        <v>0</v>
      </c>
      <c r="F40" s="3">
        <v>0</v>
      </c>
      <c r="G40" s="3">
        <v>1.6E-2</v>
      </c>
      <c r="H40" s="3">
        <v>1.0237000000000001</v>
      </c>
      <c r="I40" s="3">
        <v>7.1599999999999997E-2</v>
      </c>
      <c r="J40" s="88">
        <v>48.15</v>
      </c>
      <c r="K40" s="88">
        <v>8.98</v>
      </c>
      <c r="L40" s="88">
        <v>3.94</v>
      </c>
      <c r="M40" s="88">
        <v>2.74</v>
      </c>
      <c r="N40" s="5">
        <v>28.32</v>
      </c>
      <c r="O40" s="88">
        <v>0.04</v>
      </c>
      <c r="P40" s="22">
        <v>93.816199999999995</v>
      </c>
      <c r="Q40" s="22">
        <v>6.1838000000000051</v>
      </c>
      <c r="R40" s="135" t="s">
        <v>12</v>
      </c>
      <c r="S40" s="135" t="s">
        <v>12</v>
      </c>
    </row>
    <row r="41" spans="1:19" ht="17" x14ac:dyDescent="0.2">
      <c r="A41" s="35" t="s">
        <v>398</v>
      </c>
      <c r="B41" s="40">
        <v>304.62413655488859</v>
      </c>
      <c r="C41" s="40">
        <v>0</v>
      </c>
      <c r="D41" s="3">
        <v>0.62790000000000001</v>
      </c>
      <c r="E41" s="3">
        <v>0</v>
      </c>
      <c r="F41" s="3">
        <v>0</v>
      </c>
      <c r="G41" s="3">
        <v>0</v>
      </c>
      <c r="H41" s="3">
        <v>1.0481</v>
      </c>
      <c r="I41" s="3">
        <v>6.4699999999999994E-2</v>
      </c>
      <c r="J41" s="88">
        <v>48.01</v>
      </c>
      <c r="K41" s="88">
        <v>9.01</v>
      </c>
      <c r="L41" s="88">
        <v>2.65</v>
      </c>
      <c r="M41" s="88">
        <v>2.44</v>
      </c>
      <c r="N41" s="5">
        <v>29.78</v>
      </c>
      <c r="O41" s="88">
        <v>9.7000000000000003E-3</v>
      </c>
      <c r="P41" s="22">
        <v>93.640500000000003</v>
      </c>
      <c r="Q41" s="22">
        <v>6.359499999999997</v>
      </c>
      <c r="R41" s="135" t="s">
        <v>12</v>
      </c>
      <c r="S41" s="135" t="s">
        <v>12</v>
      </c>
    </row>
    <row r="43" spans="1:19" ht="17" x14ac:dyDescent="0.2">
      <c r="A43" s="35" t="s">
        <v>276</v>
      </c>
      <c r="D43" s="22">
        <f>AVERAGE(D26:D41)</f>
        <v>0.63495333333333337</v>
      </c>
      <c r="E43" s="22">
        <f t="shared" ref="E43:P43" si="5">AVERAGE(E26:E41)</f>
        <v>6.3533333333333332E-3</v>
      </c>
      <c r="F43" s="22">
        <f t="shared" si="5"/>
        <v>5.933333333333333E-4</v>
      </c>
      <c r="G43" s="22">
        <f t="shared" si="5"/>
        <v>4.0666666666666663E-3</v>
      </c>
      <c r="H43" s="22">
        <f t="shared" si="5"/>
        <v>1.0340666666666665</v>
      </c>
      <c r="I43" s="22">
        <f t="shared" si="5"/>
        <v>5.1340000000000004E-2</v>
      </c>
      <c r="J43" s="22">
        <f t="shared" si="5"/>
        <v>48.741999999999997</v>
      </c>
      <c r="K43" s="22">
        <f t="shared" si="5"/>
        <v>9.2173333333333307</v>
      </c>
      <c r="L43" s="22">
        <f t="shared" si="5"/>
        <v>2.5073333333333334</v>
      </c>
      <c r="M43" s="22">
        <f t="shared" si="5"/>
        <v>2.9193333333333329</v>
      </c>
      <c r="N43" s="22">
        <f t="shared" si="5"/>
        <v>28.620666666666661</v>
      </c>
      <c r="O43" s="22">
        <f t="shared" si="5"/>
        <v>7.3466666666666671E-3</v>
      </c>
      <c r="P43" s="22">
        <f t="shared" si="5"/>
        <v>93.745460000000008</v>
      </c>
    </row>
  </sheetData>
  <mergeCells count="2">
    <mergeCell ref="D3:Q3"/>
    <mergeCell ref="A3:C3"/>
  </mergeCells>
  <phoneticPr fontId="16" type="noConversion"/>
  <pageMargins left="0.75" right="0.75" top="1" bottom="1" header="0.5" footer="0.5"/>
  <pageSetup scale="40" orientation="portrait" horizontalDpi="4294967292" verticalDpi="4294967292"/>
  <rowBreaks count="1" manualBreakCount="1">
    <brk id="48" max="16383" man="1"/>
  </rowBreaks>
  <colBreaks count="1" manualBreakCount="1">
    <brk id="19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93"/>
  <sheetViews>
    <sheetView zoomScale="90" zoomScaleNormal="90" zoomScalePageLayoutView="75" workbookViewId="0">
      <pane ySplit="4" topLeftCell="A5" activePane="bottomLeft" state="frozen"/>
      <selection pane="bottomLeft" sqref="A1:A2"/>
    </sheetView>
  </sheetViews>
  <sheetFormatPr baseColWidth="10" defaultRowHeight="16" x14ac:dyDescent="0.2"/>
  <cols>
    <col min="1" max="1" width="27.33203125" style="137" customWidth="1"/>
    <col min="2" max="3" width="15" style="137" customWidth="1"/>
    <col min="4" max="6" width="10.83203125" style="138" customWidth="1"/>
    <col min="7" max="30" width="10.83203125" style="137" customWidth="1"/>
    <col min="31" max="32" width="10.83203125" style="137"/>
    <col min="33" max="33" width="54.33203125" style="137" customWidth="1"/>
    <col min="34" max="16384" width="10.83203125" style="137"/>
  </cols>
  <sheetData>
    <row r="1" spans="1:33" x14ac:dyDescent="0.2">
      <c r="A1" s="116" t="s">
        <v>697</v>
      </c>
    </row>
    <row r="2" spans="1:33" x14ac:dyDescent="0.2">
      <c r="A2" s="117" t="s">
        <v>698</v>
      </c>
    </row>
    <row r="3" spans="1:33" s="35" customFormat="1" x14ac:dyDescent="0.2">
      <c r="A3" s="133" t="s">
        <v>622</v>
      </c>
      <c r="B3" s="133"/>
      <c r="C3" s="133"/>
      <c r="D3" s="136" t="s">
        <v>399</v>
      </c>
      <c r="E3" s="136"/>
      <c r="F3" s="136"/>
      <c r="G3" s="136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 t="s">
        <v>102</v>
      </c>
      <c r="S3" s="136"/>
      <c r="T3" s="136"/>
      <c r="U3" s="136"/>
      <c r="V3" s="136"/>
      <c r="W3" s="136"/>
      <c r="X3" s="136"/>
      <c r="Y3" s="136"/>
      <c r="Z3" s="136"/>
      <c r="AA3" s="136"/>
      <c r="AB3" s="136"/>
      <c r="AC3" s="136"/>
      <c r="AD3" s="136"/>
      <c r="AE3" s="136" t="s">
        <v>616</v>
      </c>
      <c r="AF3" s="136"/>
      <c r="AG3" s="136"/>
    </row>
    <row r="4" spans="1:33" ht="51" x14ac:dyDescent="0.2">
      <c r="B4" s="137" t="s">
        <v>364</v>
      </c>
      <c r="C4" s="137" t="s">
        <v>104</v>
      </c>
      <c r="D4" s="138" t="s">
        <v>110</v>
      </c>
      <c r="E4" s="138" t="s">
        <v>365</v>
      </c>
      <c r="F4" s="138" t="s">
        <v>366</v>
      </c>
      <c r="G4" s="137" t="s">
        <v>108</v>
      </c>
      <c r="H4" s="137" t="s">
        <v>109</v>
      </c>
      <c r="I4" s="137" t="s">
        <v>105</v>
      </c>
      <c r="J4" s="137" t="s">
        <v>111</v>
      </c>
      <c r="K4" s="137" t="s">
        <v>112</v>
      </c>
      <c r="L4" s="137" t="s">
        <v>113</v>
      </c>
      <c r="M4" s="137" t="s">
        <v>114</v>
      </c>
      <c r="N4" s="137" t="s">
        <v>106</v>
      </c>
      <c r="O4" s="137" t="s">
        <v>107</v>
      </c>
      <c r="P4" s="137" t="s">
        <v>115</v>
      </c>
      <c r="Q4" s="137" t="s">
        <v>400</v>
      </c>
      <c r="R4" s="137" t="s">
        <v>121</v>
      </c>
      <c r="S4" s="137" t="s">
        <v>401</v>
      </c>
      <c r="T4" s="137" t="s">
        <v>402</v>
      </c>
      <c r="U4" s="137" t="s">
        <v>119</v>
      </c>
      <c r="V4" s="137" t="s">
        <v>120</v>
      </c>
      <c r="W4" s="137" t="s">
        <v>116</v>
      </c>
      <c r="X4" s="137" t="s">
        <v>122</v>
      </c>
      <c r="Y4" s="137" t="s">
        <v>123</v>
      </c>
      <c r="Z4" s="137" t="s">
        <v>124</v>
      </c>
      <c r="AA4" s="137" t="s">
        <v>125</v>
      </c>
      <c r="AB4" s="137" t="s">
        <v>117</v>
      </c>
      <c r="AC4" s="137" t="s">
        <v>118</v>
      </c>
      <c r="AD4" s="137" t="s">
        <v>115</v>
      </c>
      <c r="AE4" s="137" t="s">
        <v>615</v>
      </c>
      <c r="AF4" s="137" t="s">
        <v>613</v>
      </c>
      <c r="AG4" s="137" t="s">
        <v>614</v>
      </c>
    </row>
    <row r="5" spans="1:33" ht="17" x14ac:dyDescent="0.2">
      <c r="A5" s="137" t="s">
        <v>403</v>
      </c>
      <c r="B5" s="139">
        <v>0</v>
      </c>
      <c r="C5" s="139">
        <v>-369.74087360436283</v>
      </c>
      <c r="D5" s="138">
        <v>0.68589999999999995</v>
      </c>
      <c r="E5" s="138">
        <v>0.18340000000000001</v>
      </c>
      <c r="F5" s="138">
        <v>2.3E-3</v>
      </c>
      <c r="G5" s="140">
        <v>8.1000000000000003E-2</v>
      </c>
      <c r="H5" s="140">
        <v>4.13</v>
      </c>
      <c r="I5" s="140">
        <v>4.4400000000000002E-2</v>
      </c>
      <c r="J5" s="140">
        <v>44.17</v>
      </c>
      <c r="K5" s="140">
        <v>0.69940000000000002</v>
      </c>
      <c r="L5" s="140">
        <v>13.73</v>
      </c>
      <c r="M5" s="140">
        <v>10.06</v>
      </c>
      <c r="N5" s="140">
        <v>14.82</v>
      </c>
      <c r="O5" s="140">
        <v>8.7200000000000006</v>
      </c>
      <c r="P5" s="140">
        <v>97.326499999999996</v>
      </c>
      <c r="Q5" s="140">
        <f t="shared" ref="Q5:Q14" si="0">100-P5</f>
        <v>2.6735000000000042</v>
      </c>
      <c r="R5" s="141">
        <v>7.6100000000000001E-2</v>
      </c>
      <c r="S5" s="141">
        <v>8.5500000000000007E-2</v>
      </c>
      <c r="T5" s="141">
        <v>5.9999999999999995E-4</v>
      </c>
      <c r="U5" s="141">
        <v>1.01E-2</v>
      </c>
      <c r="V5" s="141">
        <v>1.18</v>
      </c>
      <c r="W5" s="141">
        <v>5.1999999999999998E-3</v>
      </c>
      <c r="X5" s="141">
        <v>6.5129999999999999</v>
      </c>
      <c r="Y5" s="141">
        <v>0.13159999999999999</v>
      </c>
      <c r="Z5" s="141">
        <v>1.6930000000000001</v>
      </c>
      <c r="AA5" s="141">
        <v>2.2120000000000002</v>
      </c>
      <c r="AB5" s="141">
        <v>2.577</v>
      </c>
      <c r="AC5" s="141">
        <v>1.377</v>
      </c>
      <c r="AD5" s="140">
        <v>15.8611</v>
      </c>
    </row>
    <row r="6" spans="1:33" ht="17" x14ac:dyDescent="0.2">
      <c r="A6" s="137" t="s">
        <v>404</v>
      </c>
      <c r="B6" s="139">
        <v>111.60645142642815</v>
      </c>
      <c r="C6" s="139">
        <v>-258.13442217793465</v>
      </c>
      <c r="D6" s="138">
        <v>0.71750000000000003</v>
      </c>
      <c r="E6" s="138">
        <v>0.14230000000000001</v>
      </c>
      <c r="F6" s="138">
        <v>2.3E-3</v>
      </c>
      <c r="G6" s="140">
        <v>5.6800000000000003E-2</v>
      </c>
      <c r="H6" s="140">
        <v>3.94</v>
      </c>
      <c r="I6" s="140">
        <v>2.6499999999999999E-2</v>
      </c>
      <c r="J6" s="140">
        <v>45.16</v>
      </c>
      <c r="K6" s="140">
        <v>0.6915</v>
      </c>
      <c r="L6" s="140">
        <v>13.3</v>
      </c>
      <c r="M6" s="140">
        <v>10.79</v>
      </c>
      <c r="N6" s="140">
        <v>13.69</v>
      </c>
      <c r="O6" s="140">
        <v>8.9600000000000009</v>
      </c>
      <c r="P6" s="140">
        <v>97.477000000000004</v>
      </c>
      <c r="Q6" s="140">
        <f t="shared" si="0"/>
        <v>2.5229999999999961</v>
      </c>
      <c r="R6" s="141">
        <v>7.9200000000000007E-2</v>
      </c>
      <c r="S6" s="141">
        <v>6.6000000000000003E-2</v>
      </c>
      <c r="T6" s="141">
        <v>5.9999999999999995E-4</v>
      </c>
      <c r="U6" s="141">
        <v>7.1000000000000004E-3</v>
      </c>
      <c r="V6" s="141">
        <v>1.121</v>
      </c>
      <c r="W6" s="141">
        <v>3.0999999999999999E-3</v>
      </c>
      <c r="X6" s="141">
        <v>6.6260000000000003</v>
      </c>
      <c r="Y6" s="141">
        <v>0.12939999999999999</v>
      </c>
      <c r="Z6" s="141">
        <v>1.6319999999999999</v>
      </c>
      <c r="AA6" s="141">
        <v>2.359</v>
      </c>
      <c r="AB6" s="141">
        <v>2.3679999999999999</v>
      </c>
      <c r="AC6" s="141">
        <v>1.409</v>
      </c>
      <c r="AD6" s="140">
        <v>15.8005</v>
      </c>
    </row>
    <row r="7" spans="1:33" ht="17" x14ac:dyDescent="0.2">
      <c r="A7" s="137" t="s">
        <v>405</v>
      </c>
      <c r="B7" s="139">
        <v>172.43407672940924</v>
      </c>
      <c r="C7" s="139">
        <v>-197.30679687495353</v>
      </c>
      <c r="D7" s="138">
        <v>0.59730000000000005</v>
      </c>
      <c r="E7" s="138">
        <v>0.1153</v>
      </c>
      <c r="F7" s="138">
        <v>1.43E-2</v>
      </c>
      <c r="G7" s="140">
        <v>4.1099999999999998E-2</v>
      </c>
      <c r="H7" s="140">
        <v>4.28</v>
      </c>
      <c r="I7" s="140">
        <v>2.5899999999999999E-2</v>
      </c>
      <c r="J7" s="140">
        <v>44.28</v>
      </c>
      <c r="K7" s="140">
        <v>0.60550000000000004</v>
      </c>
      <c r="L7" s="140">
        <v>12.7</v>
      </c>
      <c r="M7" s="140">
        <v>10.3</v>
      </c>
      <c r="N7" s="140">
        <v>14.36</v>
      </c>
      <c r="O7" s="140">
        <v>8.43</v>
      </c>
      <c r="P7" s="140">
        <v>95.749499999999998</v>
      </c>
      <c r="Q7" s="140">
        <f t="shared" si="0"/>
        <v>4.2505000000000024</v>
      </c>
      <c r="R7" s="141">
        <v>6.6900000000000001E-2</v>
      </c>
      <c r="S7" s="141">
        <v>5.4300000000000001E-2</v>
      </c>
      <c r="T7" s="141">
        <v>3.5999999999999999E-3</v>
      </c>
      <c r="U7" s="141">
        <v>5.1999999999999998E-3</v>
      </c>
      <c r="V7" s="141">
        <v>1.236</v>
      </c>
      <c r="W7" s="141">
        <v>3.0999999999999999E-3</v>
      </c>
      <c r="X7" s="141">
        <v>6.593</v>
      </c>
      <c r="Y7" s="141">
        <v>0.115</v>
      </c>
      <c r="Z7" s="141">
        <v>1.5820000000000001</v>
      </c>
      <c r="AA7" s="141">
        <v>2.2869999999999999</v>
      </c>
      <c r="AB7" s="141">
        <v>2.5209999999999999</v>
      </c>
      <c r="AC7" s="141">
        <v>1.345</v>
      </c>
      <c r="AD7" s="140">
        <v>15.812099999999999</v>
      </c>
    </row>
    <row r="8" spans="1:33" ht="17" x14ac:dyDescent="0.2">
      <c r="A8" s="137" t="s">
        <v>406</v>
      </c>
      <c r="B8" s="139">
        <v>173.43407672940691</v>
      </c>
      <c r="C8" s="139">
        <v>-196.30679687495586</v>
      </c>
      <c r="D8" s="138">
        <v>0.64339999999999997</v>
      </c>
      <c r="E8" s="138">
        <v>0.12690000000000001</v>
      </c>
      <c r="F8" s="138">
        <v>9.2999999999999992E-3</v>
      </c>
      <c r="G8" s="140">
        <v>4.5999999999999999E-2</v>
      </c>
      <c r="H8" s="140">
        <v>4.0999999999999996</v>
      </c>
      <c r="I8" s="140">
        <v>2E-3</v>
      </c>
      <c r="J8" s="140">
        <v>43.52</v>
      </c>
      <c r="K8" s="140">
        <v>0.60450000000000004</v>
      </c>
      <c r="L8" s="140">
        <v>12.21</v>
      </c>
      <c r="M8" s="140">
        <v>10.23</v>
      </c>
      <c r="N8" s="140">
        <v>14.2</v>
      </c>
      <c r="O8" s="140">
        <v>8.1999999999999993</v>
      </c>
      <c r="P8" s="140">
        <v>93.892099999999999</v>
      </c>
      <c r="Q8" s="140">
        <f t="shared" si="0"/>
        <v>6.1079000000000008</v>
      </c>
      <c r="R8" s="141">
        <v>7.3300000000000004E-2</v>
      </c>
      <c r="S8" s="141">
        <v>6.0900000000000003E-2</v>
      </c>
      <c r="T8" s="141">
        <v>2.3999999999999998E-3</v>
      </c>
      <c r="U8" s="141">
        <v>5.8999999999999999E-3</v>
      </c>
      <c r="V8" s="141">
        <v>1.2050000000000001</v>
      </c>
      <c r="W8" s="141">
        <v>2.0000000000000001E-4</v>
      </c>
      <c r="X8" s="141">
        <v>6.5960000000000001</v>
      </c>
      <c r="Y8" s="141">
        <v>0.1169</v>
      </c>
      <c r="Z8" s="141">
        <v>1.5469999999999999</v>
      </c>
      <c r="AA8" s="141">
        <v>2.3109999999999999</v>
      </c>
      <c r="AB8" s="141">
        <v>2.536</v>
      </c>
      <c r="AC8" s="141">
        <v>1.331</v>
      </c>
      <c r="AD8" s="140">
        <v>15.7857</v>
      </c>
    </row>
    <row r="9" spans="1:33" ht="17" x14ac:dyDescent="0.2">
      <c r="A9" s="137" t="s">
        <v>407</v>
      </c>
      <c r="B9" s="139">
        <v>179.51683925970613</v>
      </c>
      <c r="C9" s="139">
        <v>-190.22403434465664</v>
      </c>
      <c r="D9" s="138">
        <v>0.65090000000000003</v>
      </c>
      <c r="E9" s="138">
        <v>0.1704</v>
      </c>
      <c r="F9" s="138">
        <v>1.43E-2</v>
      </c>
      <c r="G9" s="140">
        <v>7.0699999999999999E-2</v>
      </c>
      <c r="H9" s="140">
        <v>4.17</v>
      </c>
      <c r="I9" s="140">
        <v>3.1300000000000001E-2</v>
      </c>
      <c r="J9" s="140">
        <v>44.58</v>
      </c>
      <c r="K9" s="140">
        <v>0.63039999999999996</v>
      </c>
      <c r="L9" s="140">
        <v>13.22</v>
      </c>
      <c r="M9" s="140">
        <v>10.38</v>
      </c>
      <c r="N9" s="140">
        <v>14.55</v>
      </c>
      <c r="O9" s="140">
        <v>8.6199999999999992</v>
      </c>
      <c r="P9" s="140">
        <v>97.088099999999997</v>
      </c>
      <c r="Q9" s="140">
        <f t="shared" si="0"/>
        <v>2.9119000000000028</v>
      </c>
      <c r="R9" s="141">
        <v>7.2099999999999997E-2</v>
      </c>
      <c r="S9" s="141">
        <v>7.9299999999999995E-2</v>
      </c>
      <c r="T9" s="141">
        <v>3.5999999999999999E-3</v>
      </c>
      <c r="U9" s="141">
        <v>8.8000000000000005E-3</v>
      </c>
      <c r="V9" s="141">
        <v>1.1919999999999999</v>
      </c>
      <c r="W9" s="141">
        <v>3.5999999999999999E-3</v>
      </c>
      <c r="X9" s="141">
        <v>6.5650000000000004</v>
      </c>
      <c r="Y9" s="141">
        <v>0.11840000000000001</v>
      </c>
      <c r="Z9" s="141">
        <v>1.6279999999999999</v>
      </c>
      <c r="AA9" s="141">
        <v>2.278</v>
      </c>
      <c r="AB9" s="141">
        <v>2.5259999999999998</v>
      </c>
      <c r="AC9" s="141">
        <v>1.36</v>
      </c>
      <c r="AD9" s="140">
        <v>15.8348</v>
      </c>
    </row>
    <row r="10" spans="1:33" ht="17" x14ac:dyDescent="0.2">
      <c r="A10" s="137" t="s">
        <v>408</v>
      </c>
      <c r="B10" s="139">
        <v>218.41413993726556</v>
      </c>
      <c r="C10" s="139">
        <v>-151.32673366709722</v>
      </c>
      <c r="D10" s="138">
        <v>0.67459999999999998</v>
      </c>
      <c r="E10" s="138">
        <v>8.6900000000000005E-2</v>
      </c>
      <c r="F10" s="138">
        <v>6.6E-3</v>
      </c>
      <c r="G10" s="140">
        <v>6.7699999999999996E-2</v>
      </c>
      <c r="H10" s="140">
        <v>4.16</v>
      </c>
      <c r="I10" s="140">
        <v>2.1100000000000001E-2</v>
      </c>
      <c r="J10" s="140">
        <v>44.94</v>
      </c>
      <c r="K10" s="140">
        <v>0.65439999999999998</v>
      </c>
      <c r="L10" s="140">
        <v>13.11</v>
      </c>
      <c r="M10" s="140">
        <v>10.68</v>
      </c>
      <c r="N10" s="140">
        <v>14.39</v>
      </c>
      <c r="O10" s="140">
        <v>8.5500000000000007</v>
      </c>
      <c r="P10" s="140">
        <v>97.341399999999993</v>
      </c>
      <c r="Q10" s="140">
        <f t="shared" si="0"/>
        <v>2.658600000000007</v>
      </c>
      <c r="R10" s="141">
        <v>7.4399999999999994E-2</v>
      </c>
      <c r="S10" s="141">
        <v>4.0300000000000002E-2</v>
      </c>
      <c r="T10" s="141">
        <v>1.6000000000000001E-3</v>
      </c>
      <c r="U10" s="141">
        <v>8.3999999999999995E-3</v>
      </c>
      <c r="V10" s="141">
        <v>1.1839999999999999</v>
      </c>
      <c r="W10" s="141">
        <v>2.5000000000000001E-3</v>
      </c>
      <c r="X10" s="141">
        <v>6.5869999999999997</v>
      </c>
      <c r="Y10" s="141">
        <v>0.12239999999999999</v>
      </c>
      <c r="Z10" s="141">
        <v>1.607</v>
      </c>
      <c r="AA10" s="141">
        <v>2.3340000000000001</v>
      </c>
      <c r="AB10" s="141">
        <v>2.4860000000000002</v>
      </c>
      <c r="AC10" s="141">
        <v>1.3420000000000001</v>
      </c>
      <c r="AD10" s="140">
        <v>15.7897</v>
      </c>
    </row>
    <row r="11" spans="1:33" ht="17" x14ac:dyDescent="0.2">
      <c r="A11" s="137" t="s">
        <v>409</v>
      </c>
      <c r="B11" s="139">
        <v>263.75727613228935</v>
      </c>
      <c r="C11" s="139">
        <v>-105.98359747207343</v>
      </c>
      <c r="D11" s="138">
        <v>0.70679999999999998</v>
      </c>
      <c r="E11" s="138">
        <v>0.10199999999999999</v>
      </c>
      <c r="F11" s="138">
        <v>6.6E-3</v>
      </c>
      <c r="G11" s="140">
        <v>4.2500000000000003E-2</v>
      </c>
      <c r="H11" s="140">
        <v>4.33</v>
      </c>
      <c r="I11" s="140">
        <v>4.3900000000000002E-2</v>
      </c>
      <c r="J11" s="140">
        <v>44.57</v>
      </c>
      <c r="K11" s="140">
        <v>0.67130000000000001</v>
      </c>
      <c r="L11" s="140">
        <v>13.06</v>
      </c>
      <c r="M11" s="140">
        <v>10.34</v>
      </c>
      <c r="N11" s="140">
        <v>15.03</v>
      </c>
      <c r="O11" s="140">
        <v>8.51</v>
      </c>
      <c r="P11" s="140">
        <v>97.413200000000003</v>
      </c>
      <c r="Q11" s="140">
        <f t="shared" si="0"/>
        <v>2.5867999999999967</v>
      </c>
      <c r="R11" s="141">
        <v>7.7899999999999997E-2</v>
      </c>
      <c r="S11" s="141">
        <v>4.7300000000000002E-2</v>
      </c>
      <c r="T11" s="141">
        <v>1.6000000000000001E-3</v>
      </c>
      <c r="U11" s="141">
        <v>5.3E-3</v>
      </c>
      <c r="V11" s="141">
        <v>1.23</v>
      </c>
      <c r="W11" s="141">
        <v>5.1000000000000004E-3</v>
      </c>
      <c r="X11" s="141">
        <v>6.532</v>
      </c>
      <c r="Y11" s="141">
        <v>0.1255</v>
      </c>
      <c r="Z11" s="141">
        <v>1.601</v>
      </c>
      <c r="AA11" s="141">
        <v>2.2589999999999999</v>
      </c>
      <c r="AB11" s="141">
        <v>2.5960000000000001</v>
      </c>
      <c r="AC11" s="141">
        <v>1.337</v>
      </c>
      <c r="AD11" s="140">
        <v>15.8177</v>
      </c>
    </row>
    <row r="12" spans="1:33" ht="17" x14ac:dyDescent="0.2">
      <c r="A12" s="137" t="s">
        <v>410</v>
      </c>
      <c r="B12" s="139">
        <v>311.79892473014854</v>
      </c>
      <c r="C12" s="139">
        <v>-57.941948874214233</v>
      </c>
      <c r="D12" s="138">
        <v>0.70569999999999999</v>
      </c>
      <c r="E12" s="138">
        <v>0.10589999999999999</v>
      </c>
      <c r="F12" s="138">
        <v>8.0999999999999996E-3</v>
      </c>
      <c r="G12" s="140">
        <v>6.13E-2</v>
      </c>
      <c r="H12" s="140">
        <v>4.1500000000000004</v>
      </c>
      <c r="I12" s="140">
        <v>2.23E-2</v>
      </c>
      <c r="J12" s="140">
        <v>44.64</v>
      </c>
      <c r="K12" s="140">
        <v>0.67390000000000005</v>
      </c>
      <c r="L12" s="140">
        <v>12.95</v>
      </c>
      <c r="M12" s="140">
        <v>10.28</v>
      </c>
      <c r="N12" s="140">
        <v>14.99</v>
      </c>
      <c r="O12" s="140">
        <v>8.4</v>
      </c>
      <c r="P12" s="140">
        <v>96.987300000000005</v>
      </c>
      <c r="Q12" s="140">
        <f t="shared" si="0"/>
        <v>3.0126999999999953</v>
      </c>
      <c r="R12" s="141">
        <v>7.8E-2</v>
      </c>
      <c r="S12" s="141">
        <v>4.9200000000000001E-2</v>
      </c>
      <c r="T12" s="141">
        <v>2E-3</v>
      </c>
      <c r="U12" s="141">
        <v>7.6E-3</v>
      </c>
      <c r="V12" s="141">
        <v>1.1819999999999999</v>
      </c>
      <c r="W12" s="141">
        <v>2.5999999999999999E-3</v>
      </c>
      <c r="X12" s="141">
        <v>6.56</v>
      </c>
      <c r="Y12" s="141">
        <v>0.1263</v>
      </c>
      <c r="Z12" s="141">
        <v>1.5920000000000001</v>
      </c>
      <c r="AA12" s="141">
        <v>2.2519999999999998</v>
      </c>
      <c r="AB12" s="141">
        <v>2.5950000000000002</v>
      </c>
      <c r="AC12" s="141">
        <v>1.3220000000000001</v>
      </c>
      <c r="AD12" s="140">
        <v>15.768700000000001</v>
      </c>
    </row>
    <row r="13" spans="1:33" ht="17" x14ac:dyDescent="0.2">
      <c r="A13" s="137" t="s">
        <v>411</v>
      </c>
      <c r="B13" s="139">
        <v>338.72474876581555</v>
      </c>
      <c r="C13" s="139">
        <v>-31.016124838547228</v>
      </c>
      <c r="D13" s="138">
        <v>0.66800000000000004</v>
      </c>
      <c r="E13" s="138">
        <v>0.1095</v>
      </c>
      <c r="F13" s="138">
        <v>0</v>
      </c>
      <c r="G13" s="140">
        <v>5.7799999999999997E-2</v>
      </c>
      <c r="H13" s="140">
        <v>4.33</v>
      </c>
      <c r="I13" s="140">
        <v>4.3299999999999998E-2</v>
      </c>
      <c r="J13" s="140">
        <v>45.05</v>
      </c>
      <c r="K13" s="140">
        <v>0.63</v>
      </c>
      <c r="L13" s="140">
        <v>13.08</v>
      </c>
      <c r="M13" s="140">
        <v>10.4</v>
      </c>
      <c r="N13" s="140">
        <v>14.43</v>
      </c>
      <c r="O13" s="140">
        <v>8.34</v>
      </c>
      <c r="P13" s="140">
        <v>97.138599999999997</v>
      </c>
      <c r="Q13" s="140">
        <f t="shared" si="0"/>
        <v>2.8614000000000033</v>
      </c>
      <c r="R13" s="141">
        <v>7.3700000000000002E-2</v>
      </c>
      <c r="S13" s="141">
        <v>5.0799999999999998E-2</v>
      </c>
      <c r="T13" s="141">
        <v>0</v>
      </c>
      <c r="U13" s="141">
        <v>7.1999999999999998E-3</v>
      </c>
      <c r="V13" s="141">
        <v>1.2330000000000001</v>
      </c>
      <c r="W13" s="141">
        <v>5.0000000000000001E-3</v>
      </c>
      <c r="X13" s="141">
        <v>6.6120000000000001</v>
      </c>
      <c r="Y13" s="141">
        <v>0.11799999999999999</v>
      </c>
      <c r="Z13" s="141">
        <v>1.605</v>
      </c>
      <c r="AA13" s="141">
        <v>2.2749999999999999</v>
      </c>
      <c r="AB13" s="141">
        <v>2.4969999999999999</v>
      </c>
      <c r="AC13" s="141">
        <v>1.3120000000000001</v>
      </c>
      <c r="AD13" s="140">
        <v>15.7887</v>
      </c>
    </row>
    <row r="14" spans="1:33" ht="17" x14ac:dyDescent="0.2">
      <c r="A14" s="137" t="s">
        <v>412</v>
      </c>
      <c r="B14" s="139">
        <v>369.74087360436278</v>
      </c>
      <c r="C14" s="139">
        <v>0</v>
      </c>
      <c r="D14" s="138">
        <v>0.33489999999999998</v>
      </c>
      <c r="E14" s="138">
        <v>9.6199999999999994E-2</v>
      </c>
      <c r="F14" s="138">
        <v>3.8999999999999998E-3</v>
      </c>
      <c r="G14" s="140">
        <v>4.3999999999999997E-2</v>
      </c>
      <c r="H14" s="140">
        <v>4.24</v>
      </c>
      <c r="I14" s="140">
        <v>5.4100000000000002E-2</v>
      </c>
      <c r="J14" s="140">
        <v>47.93</v>
      </c>
      <c r="K14" s="140">
        <v>0.34399999999999997</v>
      </c>
      <c r="L14" s="140">
        <v>12.82</v>
      </c>
      <c r="M14" s="140">
        <v>11.43</v>
      </c>
      <c r="N14" s="140">
        <v>11.94</v>
      </c>
      <c r="O14" s="140">
        <v>8.19</v>
      </c>
      <c r="P14" s="140">
        <v>97.427199999999999</v>
      </c>
      <c r="Q14" s="140">
        <f t="shared" si="0"/>
        <v>2.5728000000000009</v>
      </c>
      <c r="R14" s="141">
        <v>3.6600000000000001E-2</v>
      </c>
      <c r="S14" s="141">
        <v>4.4200000000000003E-2</v>
      </c>
      <c r="T14" s="141">
        <v>1E-3</v>
      </c>
      <c r="U14" s="141">
        <v>5.4000000000000003E-3</v>
      </c>
      <c r="V14" s="141">
        <v>1.194</v>
      </c>
      <c r="W14" s="141">
        <v>6.1999999999999998E-3</v>
      </c>
      <c r="X14" s="141">
        <v>6.9569999999999999</v>
      </c>
      <c r="Y14" s="141">
        <v>6.3700000000000007E-2</v>
      </c>
      <c r="Z14" s="141">
        <v>1.556</v>
      </c>
      <c r="AA14" s="141">
        <v>2.4729999999999999</v>
      </c>
      <c r="AB14" s="141">
        <v>2.044</v>
      </c>
      <c r="AC14" s="141">
        <v>1.274</v>
      </c>
      <c r="AD14" s="140">
        <v>15.655099999999999</v>
      </c>
    </row>
    <row r="15" spans="1:33" x14ac:dyDescent="0.2">
      <c r="B15" s="139"/>
      <c r="C15" s="139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1"/>
      <c r="S15" s="141"/>
      <c r="T15" s="141"/>
      <c r="U15" s="141"/>
      <c r="V15" s="141"/>
      <c r="W15" s="141"/>
      <c r="X15" s="141"/>
      <c r="Y15" s="141"/>
      <c r="Z15" s="141"/>
      <c r="AA15" s="141"/>
      <c r="AB15" s="141"/>
      <c r="AC15" s="141"/>
      <c r="AD15" s="140"/>
    </row>
    <row r="16" spans="1:33" ht="68" x14ac:dyDescent="0.2">
      <c r="A16" s="137" t="s">
        <v>141</v>
      </c>
      <c r="B16" s="139"/>
      <c r="C16" s="139"/>
      <c r="D16" s="138">
        <f>AVERAGE(D5:D14)</f>
        <v>0.63850000000000007</v>
      </c>
      <c r="E16" s="138">
        <f t="shared" ref="E16:AD16" si="1">AVERAGE(E5:E14)</f>
        <v>0.12388000000000002</v>
      </c>
      <c r="F16" s="138">
        <f t="shared" si="1"/>
        <v>6.77E-3</v>
      </c>
      <c r="G16" s="140">
        <f t="shared" si="1"/>
        <v>5.6889999999999996E-2</v>
      </c>
      <c r="H16" s="140">
        <f t="shared" si="1"/>
        <v>4.1830000000000007</v>
      </c>
      <c r="I16" s="140">
        <f t="shared" si="1"/>
        <v>3.1479999999999994E-2</v>
      </c>
      <c r="J16" s="140">
        <f t="shared" si="1"/>
        <v>44.884</v>
      </c>
      <c r="K16" s="140">
        <f t="shared" si="1"/>
        <v>0.62048999999999999</v>
      </c>
      <c r="L16" s="140">
        <f t="shared" si="1"/>
        <v>13.018000000000001</v>
      </c>
      <c r="M16" s="140">
        <f t="shared" si="1"/>
        <v>10.489000000000001</v>
      </c>
      <c r="N16" s="140">
        <f t="shared" si="1"/>
        <v>14.239999999999998</v>
      </c>
      <c r="O16" s="140">
        <f t="shared" si="1"/>
        <v>8.4920000000000009</v>
      </c>
      <c r="P16" s="140">
        <f t="shared" si="1"/>
        <v>96.784089999999992</v>
      </c>
      <c r="Q16" s="140">
        <f t="shared" si="1"/>
        <v>3.2159100000000009</v>
      </c>
      <c r="R16" s="141">
        <f t="shared" si="1"/>
        <v>7.081999999999998E-2</v>
      </c>
      <c r="S16" s="141">
        <f t="shared" si="1"/>
        <v>5.7780000000000012E-2</v>
      </c>
      <c r="T16" s="141">
        <f t="shared" si="1"/>
        <v>1.7000000000000001E-3</v>
      </c>
      <c r="U16" s="141">
        <f t="shared" si="1"/>
        <v>7.1000000000000004E-3</v>
      </c>
      <c r="V16" s="141">
        <f t="shared" si="1"/>
        <v>1.1957</v>
      </c>
      <c r="W16" s="141">
        <f t="shared" si="1"/>
        <v>3.6600000000000001E-3</v>
      </c>
      <c r="X16" s="141">
        <f t="shared" si="1"/>
        <v>6.6141000000000005</v>
      </c>
      <c r="Y16" s="141">
        <f t="shared" si="1"/>
        <v>0.11672</v>
      </c>
      <c r="Z16" s="141">
        <f t="shared" si="1"/>
        <v>1.6042999999999998</v>
      </c>
      <c r="AA16" s="141">
        <f t="shared" si="1"/>
        <v>2.3039999999999994</v>
      </c>
      <c r="AB16" s="141">
        <f t="shared" si="1"/>
        <v>2.4745999999999997</v>
      </c>
      <c r="AC16" s="141">
        <f t="shared" si="1"/>
        <v>1.3409</v>
      </c>
      <c r="AD16" s="140">
        <f t="shared" si="1"/>
        <v>15.791409999999999</v>
      </c>
      <c r="AE16" s="137" t="s">
        <v>602</v>
      </c>
      <c r="AF16" s="137" t="s">
        <v>603</v>
      </c>
      <c r="AG16" s="137" t="s">
        <v>604</v>
      </c>
    </row>
    <row r="17" spans="1:33" x14ac:dyDescent="0.2">
      <c r="B17" s="139"/>
      <c r="C17" s="139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1"/>
      <c r="S17" s="141"/>
      <c r="T17" s="141"/>
      <c r="U17" s="141"/>
      <c r="V17" s="141"/>
      <c r="W17" s="141"/>
      <c r="X17" s="141"/>
      <c r="Y17" s="141"/>
      <c r="Z17" s="141"/>
      <c r="AA17" s="141"/>
      <c r="AB17" s="141"/>
      <c r="AC17" s="141"/>
      <c r="AD17" s="140"/>
    </row>
    <row r="18" spans="1:33" ht="17" x14ac:dyDescent="0.2">
      <c r="A18" s="137" t="s">
        <v>413</v>
      </c>
      <c r="B18" s="139">
        <v>0</v>
      </c>
      <c r="C18" s="139">
        <v>-455.69304872744505</v>
      </c>
      <c r="D18" s="142">
        <v>0.59299999999999997</v>
      </c>
      <c r="E18" s="142">
        <v>0.28449999999999998</v>
      </c>
      <c r="F18" s="142">
        <v>0</v>
      </c>
      <c r="G18" s="143">
        <v>3.6700000000000003E-2</v>
      </c>
      <c r="H18" s="143">
        <v>3.98</v>
      </c>
      <c r="I18" s="143">
        <v>1.49E-2</v>
      </c>
      <c r="J18" s="143">
        <v>45.32</v>
      </c>
      <c r="K18" s="143">
        <v>0.62509999999999999</v>
      </c>
      <c r="L18" s="143">
        <v>11.29</v>
      </c>
      <c r="M18" s="143">
        <v>10.86</v>
      </c>
      <c r="N18" s="143">
        <v>15.39</v>
      </c>
      <c r="O18" s="143">
        <v>8.89</v>
      </c>
      <c r="P18" s="143">
        <v>97.284199999999998</v>
      </c>
      <c r="Q18" s="143">
        <f>100-P18</f>
        <v>2.7158000000000015</v>
      </c>
      <c r="R18" s="144">
        <v>6.4799999999999996E-2</v>
      </c>
      <c r="S18" s="144">
        <v>0.1308</v>
      </c>
      <c r="T18" s="144">
        <v>0</v>
      </c>
      <c r="U18" s="144">
        <v>4.4999999999999997E-3</v>
      </c>
      <c r="V18" s="144">
        <v>1.1200000000000001</v>
      </c>
      <c r="W18" s="144">
        <v>1.6999999999999999E-3</v>
      </c>
      <c r="X18" s="144">
        <v>6.5880000000000001</v>
      </c>
      <c r="Y18" s="144">
        <v>0.1159</v>
      </c>
      <c r="Z18" s="144">
        <v>1.373</v>
      </c>
      <c r="AA18" s="144">
        <v>2.3540000000000001</v>
      </c>
      <c r="AB18" s="144">
        <v>2.637</v>
      </c>
      <c r="AC18" s="144">
        <v>1.385</v>
      </c>
      <c r="AD18" s="143">
        <v>15.774699999999999</v>
      </c>
    </row>
    <row r="19" spans="1:33" ht="17" x14ac:dyDescent="0.2">
      <c r="A19" s="137" t="s">
        <v>414</v>
      </c>
      <c r="B19" s="139">
        <v>50.92150822589209</v>
      </c>
      <c r="C19" s="139">
        <v>-404.77154050155298</v>
      </c>
      <c r="D19" s="142">
        <v>0.59919999999999995</v>
      </c>
      <c r="E19" s="142">
        <v>0.2321</v>
      </c>
      <c r="F19" s="142">
        <v>3.5000000000000001E-3</v>
      </c>
      <c r="G19" s="143">
        <v>4.8099999999999997E-2</v>
      </c>
      <c r="H19" s="143">
        <v>4.0599999999999996</v>
      </c>
      <c r="I19" s="143">
        <v>5.2299999999999999E-2</v>
      </c>
      <c r="J19" s="143">
        <v>44.6</v>
      </c>
      <c r="K19" s="143">
        <v>0.63729999999999998</v>
      </c>
      <c r="L19" s="143">
        <v>11.33</v>
      </c>
      <c r="M19" s="143">
        <v>11.24</v>
      </c>
      <c r="N19" s="143">
        <v>15.18</v>
      </c>
      <c r="O19" s="143">
        <v>8.66</v>
      </c>
      <c r="P19" s="143">
        <v>96.642600000000002</v>
      </c>
      <c r="Q19" s="143">
        <f t="shared" ref="Q19:Q83" si="2">100-P19</f>
        <v>3.3573999999999984</v>
      </c>
      <c r="R19" s="144">
        <v>6.6100000000000006E-2</v>
      </c>
      <c r="S19" s="144">
        <v>0.1076</v>
      </c>
      <c r="T19" s="144">
        <v>8.9999999999999998E-4</v>
      </c>
      <c r="U19" s="144">
        <v>6.0000000000000001E-3</v>
      </c>
      <c r="V19" s="144">
        <v>1.155</v>
      </c>
      <c r="W19" s="144">
        <v>6.1000000000000004E-3</v>
      </c>
      <c r="X19" s="144">
        <v>6.5380000000000003</v>
      </c>
      <c r="Y19" s="144">
        <v>0.1192</v>
      </c>
      <c r="Z19" s="144">
        <v>1.389</v>
      </c>
      <c r="AA19" s="144">
        <v>2.456</v>
      </c>
      <c r="AB19" s="144">
        <v>2.6230000000000002</v>
      </c>
      <c r="AC19" s="144">
        <v>1.361</v>
      </c>
      <c r="AD19" s="143">
        <v>15.827999999999999</v>
      </c>
    </row>
    <row r="20" spans="1:33" ht="17" x14ac:dyDescent="0.2">
      <c r="A20" s="137" t="s">
        <v>415</v>
      </c>
      <c r="B20" s="139">
        <v>101.51795078858734</v>
      </c>
      <c r="C20" s="139">
        <v>-354.17509793885773</v>
      </c>
      <c r="D20" s="142">
        <v>0.67600000000000005</v>
      </c>
      <c r="E20" s="142">
        <v>0.1958</v>
      </c>
      <c r="F20" s="142">
        <v>0</v>
      </c>
      <c r="G20" s="143">
        <v>4.0599999999999997E-2</v>
      </c>
      <c r="H20" s="143">
        <v>4.0999999999999996</v>
      </c>
      <c r="I20" s="143">
        <v>2.0899999999999998E-2</v>
      </c>
      <c r="J20" s="143">
        <v>44.66</v>
      </c>
      <c r="K20" s="143">
        <v>0.71189999999999998</v>
      </c>
      <c r="L20" s="143">
        <v>11.39</v>
      </c>
      <c r="M20" s="143">
        <v>11.11</v>
      </c>
      <c r="N20" s="143">
        <v>15.56</v>
      </c>
      <c r="O20" s="143">
        <v>8.77</v>
      </c>
      <c r="P20" s="143">
        <v>97.235299999999995</v>
      </c>
      <c r="Q20" s="143">
        <f t="shared" si="2"/>
        <v>2.7647000000000048</v>
      </c>
      <c r="R20" s="144">
        <v>7.4099999999999999E-2</v>
      </c>
      <c r="S20" s="144">
        <v>9.0300000000000005E-2</v>
      </c>
      <c r="T20" s="144">
        <v>0</v>
      </c>
      <c r="U20" s="144">
        <v>5.0000000000000001E-3</v>
      </c>
      <c r="V20" s="144">
        <v>1.157</v>
      </c>
      <c r="W20" s="144">
        <v>2.3999999999999998E-3</v>
      </c>
      <c r="X20" s="144">
        <v>6.508</v>
      </c>
      <c r="Y20" s="144">
        <v>0.13239999999999999</v>
      </c>
      <c r="Z20" s="144">
        <v>1.3879999999999999</v>
      </c>
      <c r="AA20" s="144">
        <v>2.4140000000000001</v>
      </c>
      <c r="AB20" s="144">
        <v>2.6739999999999999</v>
      </c>
      <c r="AC20" s="144">
        <v>1.37</v>
      </c>
      <c r="AD20" s="143">
        <v>15.815200000000001</v>
      </c>
    </row>
    <row r="21" spans="1:33" ht="17" x14ac:dyDescent="0.2">
      <c r="A21" s="137" t="s">
        <v>416</v>
      </c>
      <c r="B21" s="139">
        <v>152.11439335128259</v>
      </c>
      <c r="C21" s="139">
        <v>-303.57865537616249</v>
      </c>
      <c r="D21" s="142">
        <v>0.65590000000000004</v>
      </c>
      <c r="E21" s="142">
        <v>0.12870000000000001</v>
      </c>
      <c r="F21" s="142">
        <v>4.3E-3</v>
      </c>
      <c r="G21" s="143">
        <v>4.1700000000000001E-2</v>
      </c>
      <c r="H21" s="143">
        <v>4.13</v>
      </c>
      <c r="I21" s="143">
        <v>6.2E-2</v>
      </c>
      <c r="J21" s="143">
        <v>44.62</v>
      </c>
      <c r="K21" s="143">
        <v>0.6946</v>
      </c>
      <c r="L21" s="143">
        <v>11.23</v>
      </c>
      <c r="M21" s="143">
        <v>11.12</v>
      </c>
      <c r="N21" s="143">
        <v>15.55</v>
      </c>
      <c r="O21" s="143">
        <v>8.6300000000000008</v>
      </c>
      <c r="P21" s="143">
        <v>96.867199999999997</v>
      </c>
      <c r="Q21" s="143">
        <f t="shared" si="2"/>
        <v>3.1328000000000031</v>
      </c>
      <c r="R21" s="144">
        <v>7.1999999999999995E-2</v>
      </c>
      <c r="S21" s="144">
        <v>5.9499999999999997E-2</v>
      </c>
      <c r="T21" s="144">
        <v>1.1000000000000001E-3</v>
      </c>
      <c r="U21" s="144">
        <v>5.1999999999999998E-3</v>
      </c>
      <c r="V21" s="144">
        <v>1.17</v>
      </c>
      <c r="W21" s="144">
        <v>7.1999999999999998E-3</v>
      </c>
      <c r="X21" s="144">
        <v>6.5170000000000003</v>
      </c>
      <c r="Y21" s="144">
        <v>0.12939999999999999</v>
      </c>
      <c r="Z21" s="144">
        <v>1.371</v>
      </c>
      <c r="AA21" s="144">
        <v>2.42</v>
      </c>
      <c r="AB21" s="144">
        <v>2.677</v>
      </c>
      <c r="AC21" s="144">
        <v>1.35</v>
      </c>
      <c r="AD21" s="143">
        <v>15.779500000000001</v>
      </c>
    </row>
    <row r="22" spans="1:33" ht="17" x14ac:dyDescent="0.2">
      <c r="A22" s="137" t="s">
        <v>417</v>
      </c>
      <c r="B22" s="139">
        <v>202.71083591397783</v>
      </c>
      <c r="C22" s="139">
        <v>-252.98221281346727</v>
      </c>
      <c r="D22" s="142">
        <v>0.65039999999999998</v>
      </c>
      <c r="E22" s="142">
        <v>8.6599999999999996E-2</v>
      </c>
      <c r="F22" s="142">
        <v>0</v>
      </c>
      <c r="G22" s="143">
        <v>4.9500000000000002E-2</v>
      </c>
      <c r="H22" s="143">
        <v>4.03</v>
      </c>
      <c r="I22" s="143">
        <v>3.78E-2</v>
      </c>
      <c r="J22" s="143">
        <v>44.58</v>
      </c>
      <c r="K22" s="143">
        <v>0.71519999999999995</v>
      </c>
      <c r="L22" s="143">
        <v>11</v>
      </c>
      <c r="M22" s="143">
        <v>11.13</v>
      </c>
      <c r="N22" s="143">
        <v>15.5</v>
      </c>
      <c r="O22" s="143">
        <v>8.66</v>
      </c>
      <c r="P22" s="143">
        <v>96.439599999999999</v>
      </c>
      <c r="Q22" s="143">
        <f t="shared" si="2"/>
        <v>3.5604000000000013</v>
      </c>
      <c r="R22" s="144">
        <v>7.1599999999999997E-2</v>
      </c>
      <c r="S22" s="144">
        <v>4.0099999999999997E-2</v>
      </c>
      <c r="T22" s="144">
        <v>0</v>
      </c>
      <c r="U22" s="144">
        <v>6.1000000000000004E-3</v>
      </c>
      <c r="V22" s="144">
        <v>1.1439999999999999</v>
      </c>
      <c r="W22" s="144">
        <v>4.4000000000000003E-3</v>
      </c>
      <c r="X22" s="144">
        <v>6.5279999999999996</v>
      </c>
      <c r="Y22" s="144">
        <v>0.1336</v>
      </c>
      <c r="Z22" s="144">
        <v>1.347</v>
      </c>
      <c r="AA22" s="144">
        <v>2.4300000000000002</v>
      </c>
      <c r="AB22" s="144">
        <v>2.6760000000000002</v>
      </c>
      <c r="AC22" s="144">
        <v>1.359</v>
      </c>
      <c r="AD22" s="143">
        <v>15.7399</v>
      </c>
    </row>
    <row r="23" spans="1:33" ht="17" x14ac:dyDescent="0.2">
      <c r="A23" s="137" t="s">
        <v>418</v>
      </c>
      <c r="B23" s="139">
        <v>253.30727847666859</v>
      </c>
      <c r="C23" s="139">
        <v>-202.38577025077652</v>
      </c>
      <c r="D23" s="142">
        <v>0.69340000000000002</v>
      </c>
      <c r="E23" s="142">
        <v>0.1845</v>
      </c>
      <c r="F23" s="142">
        <v>0</v>
      </c>
      <c r="G23" s="143">
        <v>5.0500000000000003E-2</v>
      </c>
      <c r="H23" s="143">
        <v>4.0999999999999996</v>
      </c>
      <c r="I23" s="143">
        <v>4.1500000000000002E-2</v>
      </c>
      <c r="J23" s="143">
        <v>44.24</v>
      </c>
      <c r="K23" s="143">
        <v>0.7208</v>
      </c>
      <c r="L23" s="143">
        <v>10.95</v>
      </c>
      <c r="M23" s="143">
        <v>11.12</v>
      </c>
      <c r="N23" s="143">
        <v>15.53</v>
      </c>
      <c r="O23" s="143">
        <v>8.67</v>
      </c>
      <c r="P23" s="143">
        <v>96.300799999999995</v>
      </c>
      <c r="Q23" s="143">
        <f t="shared" si="2"/>
        <v>3.6992000000000047</v>
      </c>
      <c r="R23" s="144">
        <v>7.6600000000000001E-2</v>
      </c>
      <c r="S23" s="144">
        <v>8.5699999999999998E-2</v>
      </c>
      <c r="T23" s="144">
        <v>0</v>
      </c>
      <c r="U23" s="144">
        <v>6.3E-3</v>
      </c>
      <c r="V23" s="144">
        <v>1.167</v>
      </c>
      <c r="W23" s="144">
        <v>4.7999999999999996E-3</v>
      </c>
      <c r="X23" s="144">
        <v>6.5</v>
      </c>
      <c r="Y23" s="144">
        <v>0.1351</v>
      </c>
      <c r="Z23" s="144">
        <v>1.345</v>
      </c>
      <c r="AA23" s="144">
        <v>2.4350000000000001</v>
      </c>
      <c r="AB23" s="144">
        <v>2.6909999999999998</v>
      </c>
      <c r="AC23" s="144">
        <v>1.365</v>
      </c>
      <c r="AD23" s="143">
        <v>15.811500000000001</v>
      </c>
    </row>
    <row r="24" spans="1:33" ht="17" x14ac:dyDescent="0.2">
      <c r="A24" s="137" t="s">
        <v>419</v>
      </c>
      <c r="B24" s="139">
        <v>303.90372103936386</v>
      </c>
      <c r="C24" s="139">
        <v>-151.78932768808124</v>
      </c>
      <c r="D24" s="142">
        <v>0.69420000000000004</v>
      </c>
      <c r="E24" s="142">
        <v>0.10589999999999999</v>
      </c>
      <c r="F24" s="142">
        <v>0</v>
      </c>
      <c r="G24" s="143">
        <v>2.8199999999999999E-2</v>
      </c>
      <c r="H24" s="143">
        <v>4.0599999999999996</v>
      </c>
      <c r="I24" s="143">
        <v>5.2400000000000002E-2</v>
      </c>
      <c r="J24" s="143">
        <v>44.39</v>
      </c>
      <c r="K24" s="143">
        <v>0.68930000000000002</v>
      </c>
      <c r="L24" s="143">
        <v>10.85</v>
      </c>
      <c r="M24" s="143">
        <v>11.16</v>
      </c>
      <c r="N24" s="143">
        <v>15.53</v>
      </c>
      <c r="O24" s="143">
        <v>8.7799999999999994</v>
      </c>
      <c r="P24" s="143">
        <v>96.34</v>
      </c>
      <c r="Q24" s="143">
        <f t="shared" si="2"/>
        <v>3.6599999999999966</v>
      </c>
      <c r="R24" s="144">
        <v>7.6499999999999999E-2</v>
      </c>
      <c r="S24" s="144">
        <v>4.9099999999999998E-2</v>
      </c>
      <c r="T24" s="144">
        <v>0</v>
      </c>
      <c r="U24" s="144">
        <v>3.5000000000000001E-3</v>
      </c>
      <c r="V24" s="144">
        <v>1.1539999999999999</v>
      </c>
      <c r="W24" s="144">
        <v>6.1000000000000004E-3</v>
      </c>
      <c r="X24" s="144">
        <v>6.5090000000000003</v>
      </c>
      <c r="Y24" s="144">
        <v>0.12889999999999999</v>
      </c>
      <c r="Z24" s="144">
        <v>1.33</v>
      </c>
      <c r="AA24" s="144">
        <v>2.4380000000000002</v>
      </c>
      <c r="AB24" s="144">
        <v>2.6840000000000002</v>
      </c>
      <c r="AC24" s="144">
        <v>1.38</v>
      </c>
      <c r="AD24" s="143">
        <v>15.7591</v>
      </c>
    </row>
    <row r="25" spans="1:33" ht="17" x14ac:dyDescent="0.2">
      <c r="A25" s="137" t="s">
        <v>420</v>
      </c>
      <c r="B25" s="139">
        <v>354.5001636020591</v>
      </c>
      <c r="C25" s="139">
        <v>-101.192885125386</v>
      </c>
      <c r="D25" s="142">
        <v>0.66849999999999998</v>
      </c>
      <c r="E25" s="142">
        <v>0.20330000000000001</v>
      </c>
      <c r="F25" s="142">
        <v>2.7000000000000001E-3</v>
      </c>
      <c r="G25" s="143">
        <v>5.45E-2</v>
      </c>
      <c r="H25" s="143">
        <v>4.26</v>
      </c>
      <c r="I25" s="143">
        <v>4.0000000000000001E-3</v>
      </c>
      <c r="J25" s="143">
        <v>44.55</v>
      </c>
      <c r="K25" s="143">
        <v>0.71209999999999996</v>
      </c>
      <c r="L25" s="143">
        <v>11.09</v>
      </c>
      <c r="M25" s="143">
        <v>11.2</v>
      </c>
      <c r="N25" s="143">
        <v>15.36</v>
      </c>
      <c r="O25" s="143">
        <v>8.66</v>
      </c>
      <c r="P25" s="143">
        <v>96.765199999999993</v>
      </c>
      <c r="Q25" s="143">
        <f t="shared" si="2"/>
        <v>3.234800000000007</v>
      </c>
      <c r="R25" s="144">
        <v>7.3599999999999999E-2</v>
      </c>
      <c r="S25" s="144">
        <v>9.4100000000000003E-2</v>
      </c>
      <c r="T25" s="144">
        <v>6.9999999999999999E-4</v>
      </c>
      <c r="U25" s="144">
        <v>6.7999999999999996E-3</v>
      </c>
      <c r="V25" s="144">
        <v>1.208</v>
      </c>
      <c r="W25" s="144">
        <v>5.0000000000000001E-4</v>
      </c>
      <c r="X25" s="144">
        <v>6.5209999999999999</v>
      </c>
      <c r="Y25" s="144">
        <v>0.13300000000000001</v>
      </c>
      <c r="Z25" s="144">
        <v>1.357</v>
      </c>
      <c r="AA25" s="144">
        <v>2.4430000000000001</v>
      </c>
      <c r="AB25" s="144">
        <v>2.65</v>
      </c>
      <c r="AC25" s="144">
        <v>1.3580000000000001</v>
      </c>
      <c r="AD25" s="143">
        <v>15.845700000000001</v>
      </c>
    </row>
    <row r="26" spans="1:33" ht="17" x14ac:dyDescent="0.2">
      <c r="A26" s="137" t="s">
        <v>421</v>
      </c>
      <c r="B26" s="139">
        <v>405.09660616475435</v>
      </c>
      <c r="C26" s="139">
        <v>-50.596442562690754</v>
      </c>
      <c r="D26" s="142">
        <v>0.58899999999999997</v>
      </c>
      <c r="E26" s="142">
        <v>0.12859999999999999</v>
      </c>
      <c r="F26" s="142">
        <v>7.0000000000000001E-3</v>
      </c>
      <c r="G26" s="143">
        <v>5.3499999999999999E-2</v>
      </c>
      <c r="H26" s="143">
        <v>4.17</v>
      </c>
      <c r="I26" s="143">
        <v>6.4000000000000003E-3</v>
      </c>
      <c r="J26" s="143">
        <v>44.51</v>
      </c>
      <c r="K26" s="143">
        <v>0.62839999999999996</v>
      </c>
      <c r="L26" s="143">
        <v>11.03</v>
      </c>
      <c r="M26" s="143">
        <v>11.38</v>
      </c>
      <c r="N26" s="143">
        <v>15.02</v>
      </c>
      <c r="O26" s="143">
        <v>8.68</v>
      </c>
      <c r="P26" s="143">
        <v>96.203000000000003</v>
      </c>
      <c r="Q26" s="143">
        <f t="shared" si="2"/>
        <v>3.796999999999997</v>
      </c>
      <c r="R26" s="144">
        <v>6.5100000000000005E-2</v>
      </c>
      <c r="S26" s="144">
        <v>5.9799999999999999E-2</v>
      </c>
      <c r="T26" s="144">
        <v>1.6999999999999999E-3</v>
      </c>
      <c r="U26" s="144">
        <v>6.7000000000000002E-3</v>
      </c>
      <c r="V26" s="144">
        <v>1.19</v>
      </c>
      <c r="W26" s="144">
        <v>6.9999999999999999E-4</v>
      </c>
      <c r="X26" s="144">
        <v>6.5439999999999996</v>
      </c>
      <c r="Y26" s="144">
        <v>0.1179</v>
      </c>
      <c r="Z26" s="144">
        <v>1.3560000000000001</v>
      </c>
      <c r="AA26" s="144">
        <v>2.4940000000000002</v>
      </c>
      <c r="AB26" s="144">
        <v>2.6019999999999999</v>
      </c>
      <c r="AC26" s="144">
        <v>1.3680000000000001</v>
      </c>
      <c r="AD26" s="143">
        <v>15.805899999999999</v>
      </c>
    </row>
    <row r="27" spans="1:33" ht="17" x14ac:dyDescent="0.2">
      <c r="A27" s="137" t="s">
        <v>422</v>
      </c>
      <c r="B27" s="139">
        <v>455.6930487274451</v>
      </c>
      <c r="C27" s="139">
        <v>0</v>
      </c>
      <c r="D27" s="142">
        <v>0.60840000000000005</v>
      </c>
      <c r="E27" s="142">
        <v>0.12859999999999999</v>
      </c>
      <c r="F27" s="142">
        <v>1.1999999999999999E-3</v>
      </c>
      <c r="G27" s="143">
        <v>4.41E-2</v>
      </c>
      <c r="H27" s="143">
        <v>4.4400000000000004</v>
      </c>
      <c r="I27" s="143">
        <v>3.9100000000000003E-2</v>
      </c>
      <c r="J27" s="143">
        <v>44.48</v>
      </c>
      <c r="K27" s="143">
        <v>0.59630000000000005</v>
      </c>
      <c r="L27" s="143">
        <v>11.06</v>
      </c>
      <c r="M27" s="143">
        <v>11.53</v>
      </c>
      <c r="N27" s="143">
        <v>14.8</v>
      </c>
      <c r="O27" s="143">
        <v>8.74</v>
      </c>
      <c r="P27" s="143">
        <v>96.467799999999997</v>
      </c>
      <c r="Q27" s="143">
        <f t="shared" si="2"/>
        <v>3.5322000000000031</v>
      </c>
      <c r="R27" s="144">
        <v>6.7199999999999996E-2</v>
      </c>
      <c r="S27" s="144">
        <v>5.9700000000000003E-2</v>
      </c>
      <c r="T27" s="144">
        <v>2.9999999999999997E-4</v>
      </c>
      <c r="U27" s="144">
        <v>5.4999999999999997E-3</v>
      </c>
      <c r="V27" s="144">
        <v>1.2649999999999999</v>
      </c>
      <c r="W27" s="144">
        <v>4.4999999999999997E-3</v>
      </c>
      <c r="X27" s="144">
        <v>6.532</v>
      </c>
      <c r="Y27" s="144">
        <v>0.11169999999999999</v>
      </c>
      <c r="Z27" s="144">
        <v>1.3580000000000001</v>
      </c>
      <c r="AA27" s="144">
        <v>2.524</v>
      </c>
      <c r="AB27" s="144">
        <v>2.5609999999999999</v>
      </c>
      <c r="AC27" s="144">
        <v>1.3759999999999999</v>
      </c>
      <c r="AD27" s="143">
        <v>15.865</v>
      </c>
    </row>
    <row r="28" spans="1:33" x14ac:dyDescent="0.2">
      <c r="B28" s="139"/>
      <c r="C28" s="139"/>
      <c r="D28" s="142"/>
      <c r="E28" s="142"/>
      <c r="F28" s="142"/>
      <c r="G28" s="143"/>
      <c r="H28" s="143"/>
      <c r="I28" s="143"/>
      <c r="J28" s="143"/>
      <c r="K28" s="143"/>
      <c r="L28" s="143"/>
      <c r="M28" s="143"/>
      <c r="N28" s="143"/>
      <c r="O28" s="143"/>
      <c r="P28" s="143"/>
      <c r="Q28" s="143"/>
      <c r="R28" s="144"/>
      <c r="S28" s="144"/>
      <c r="T28" s="144"/>
      <c r="U28" s="144"/>
      <c r="V28" s="144"/>
      <c r="W28" s="144"/>
      <c r="X28" s="144"/>
      <c r="Y28" s="144"/>
      <c r="Z28" s="144"/>
      <c r="AA28" s="144"/>
      <c r="AB28" s="144"/>
      <c r="AC28" s="144"/>
      <c r="AD28" s="143"/>
    </row>
    <row r="29" spans="1:33" ht="68" x14ac:dyDescent="0.2">
      <c r="A29" s="137" t="s">
        <v>308</v>
      </c>
      <c r="B29" s="139"/>
      <c r="C29" s="139"/>
      <c r="D29" s="142">
        <f>AVERAGE(D18:D27)</f>
        <v>0.64279999999999993</v>
      </c>
      <c r="E29" s="142">
        <f t="shared" ref="E29:AD29" si="3">AVERAGE(E18:E27)</f>
        <v>0.16786000000000004</v>
      </c>
      <c r="F29" s="142">
        <f>AVERAGE(F18:F27)</f>
        <v>1.8699999999999997E-3</v>
      </c>
      <c r="G29" s="143">
        <f t="shared" si="3"/>
        <v>4.4740000000000002E-2</v>
      </c>
      <c r="H29" s="143">
        <f t="shared" si="3"/>
        <v>4.133</v>
      </c>
      <c r="I29" s="143">
        <f t="shared" si="3"/>
        <v>3.3130000000000007E-2</v>
      </c>
      <c r="J29" s="143">
        <f t="shared" si="3"/>
        <v>44.594999999999999</v>
      </c>
      <c r="K29" s="143">
        <f t="shared" si="3"/>
        <v>0.67310000000000003</v>
      </c>
      <c r="L29" s="143">
        <f t="shared" si="3"/>
        <v>11.122</v>
      </c>
      <c r="M29" s="143">
        <f t="shared" si="3"/>
        <v>11.184999999999999</v>
      </c>
      <c r="N29" s="143">
        <f t="shared" si="3"/>
        <v>15.342000000000002</v>
      </c>
      <c r="O29" s="143">
        <f t="shared" si="3"/>
        <v>8.7140000000000004</v>
      </c>
      <c r="P29" s="143">
        <f t="shared" si="3"/>
        <v>96.654570000000007</v>
      </c>
      <c r="Q29" s="143">
        <f t="shared" si="3"/>
        <v>3.3454300000000017</v>
      </c>
      <c r="R29" s="144">
        <f t="shared" si="3"/>
        <v>7.0760000000000017E-2</v>
      </c>
      <c r="S29" s="144">
        <f t="shared" si="3"/>
        <v>7.7669999999999989E-2</v>
      </c>
      <c r="T29" s="144">
        <f t="shared" si="3"/>
        <v>4.7000000000000004E-4</v>
      </c>
      <c r="U29" s="144">
        <f t="shared" si="3"/>
        <v>5.5600000000000007E-3</v>
      </c>
      <c r="V29" s="144">
        <f t="shared" si="3"/>
        <v>1.173</v>
      </c>
      <c r="W29" s="144">
        <f t="shared" si="3"/>
        <v>3.8399999999999997E-3</v>
      </c>
      <c r="X29" s="144">
        <f t="shared" si="3"/>
        <v>6.5284999999999993</v>
      </c>
      <c r="Y29" s="144">
        <f t="shared" si="3"/>
        <v>0.12570999999999999</v>
      </c>
      <c r="Z29" s="144">
        <f t="shared" si="3"/>
        <v>1.3614000000000002</v>
      </c>
      <c r="AA29" s="144">
        <f t="shared" si="3"/>
        <v>2.4408000000000003</v>
      </c>
      <c r="AB29" s="144">
        <f t="shared" si="3"/>
        <v>2.6475</v>
      </c>
      <c r="AC29" s="144">
        <f t="shared" si="3"/>
        <v>1.3672</v>
      </c>
      <c r="AD29" s="143">
        <f t="shared" si="3"/>
        <v>15.802450000000002</v>
      </c>
      <c r="AE29" s="137" t="s">
        <v>602</v>
      </c>
      <c r="AF29" s="137" t="s">
        <v>603</v>
      </c>
      <c r="AG29" s="137" t="s">
        <v>605</v>
      </c>
    </row>
    <row r="30" spans="1:33" x14ac:dyDescent="0.2">
      <c r="B30" s="139"/>
      <c r="C30" s="139"/>
      <c r="G30" s="138"/>
      <c r="I30" s="138"/>
      <c r="P30" s="140"/>
      <c r="Q30" s="143"/>
      <c r="R30" s="141"/>
      <c r="S30" s="141"/>
      <c r="T30" s="141"/>
      <c r="U30" s="141"/>
      <c r="V30" s="141"/>
      <c r="W30" s="141"/>
      <c r="X30" s="141"/>
      <c r="Y30" s="141"/>
      <c r="Z30" s="141"/>
      <c r="AA30" s="141"/>
      <c r="AB30" s="141"/>
      <c r="AC30" s="141"/>
      <c r="AD30" s="140"/>
    </row>
    <row r="31" spans="1:33" ht="17" x14ac:dyDescent="0.2">
      <c r="A31" s="145" t="s">
        <v>423</v>
      </c>
      <c r="B31" s="146">
        <v>0</v>
      </c>
      <c r="C31" s="146">
        <v>-639.79270454265441</v>
      </c>
      <c r="D31" s="147">
        <v>0.5796</v>
      </c>
      <c r="E31" s="147">
        <v>0.1182</v>
      </c>
      <c r="F31" s="147">
        <v>0</v>
      </c>
      <c r="G31" s="147">
        <v>1.7000000000000001E-2</v>
      </c>
      <c r="H31" s="145">
        <v>4.3899999999999997</v>
      </c>
      <c r="I31" s="147">
        <v>1.6500000000000001E-2</v>
      </c>
      <c r="J31" s="145">
        <v>45.88</v>
      </c>
      <c r="K31" s="148">
        <v>0.28260000000000002</v>
      </c>
      <c r="L31" s="145">
        <v>10.94</v>
      </c>
      <c r="M31" s="145">
        <v>12.49</v>
      </c>
      <c r="N31" s="145">
        <v>14.29</v>
      </c>
      <c r="O31" s="145">
        <v>8.61</v>
      </c>
      <c r="P31" s="148">
        <v>97.614000000000004</v>
      </c>
      <c r="Q31" s="143">
        <f t="shared" si="2"/>
        <v>2.3859999999999957</v>
      </c>
      <c r="R31" s="149">
        <v>6.2899999999999998E-2</v>
      </c>
      <c r="S31" s="149">
        <v>5.3999999999999999E-2</v>
      </c>
      <c r="T31" s="149">
        <v>0</v>
      </c>
      <c r="U31" s="149">
        <v>2.0999999999999999E-3</v>
      </c>
      <c r="V31" s="149">
        <v>1.2290000000000001</v>
      </c>
      <c r="W31" s="149">
        <v>1.9E-3</v>
      </c>
      <c r="X31" s="149">
        <v>6.6219999999999999</v>
      </c>
      <c r="Y31" s="149">
        <v>5.1999999999999998E-2</v>
      </c>
      <c r="Z31" s="149">
        <v>1.32</v>
      </c>
      <c r="AA31" s="149">
        <v>2.6869999999999998</v>
      </c>
      <c r="AB31" s="149">
        <v>2.4300000000000002</v>
      </c>
      <c r="AC31" s="149">
        <v>1.3320000000000001</v>
      </c>
      <c r="AD31" s="145">
        <v>15.792899999999999</v>
      </c>
    </row>
    <row r="32" spans="1:33" ht="17" x14ac:dyDescent="0.2">
      <c r="A32" s="145" t="s">
        <v>424</v>
      </c>
      <c r="B32" s="146">
        <v>34.828149534535818</v>
      </c>
      <c r="C32" s="146">
        <v>-604.96455500811862</v>
      </c>
      <c r="D32" s="147">
        <v>0.6925</v>
      </c>
      <c r="E32" s="147">
        <v>7.5899999999999995E-2</v>
      </c>
      <c r="F32" s="147">
        <v>0</v>
      </c>
      <c r="G32" s="147">
        <v>3.4799999999999998E-2</v>
      </c>
      <c r="H32" s="145">
        <v>4.2699999999999996</v>
      </c>
      <c r="I32" s="147">
        <v>0</v>
      </c>
      <c r="J32" s="145">
        <v>45.01</v>
      </c>
      <c r="K32" s="148">
        <v>0.28050000000000003</v>
      </c>
      <c r="L32" s="145">
        <v>11.5</v>
      </c>
      <c r="M32" s="145">
        <v>12.06</v>
      </c>
      <c r="N32" s="145">
        <v>15.4</v>
      </c>
      <c r="O32" s="145">
        <v>8.64</v>
      </c>
      <c r="P32" s="148">
        <v>97.963800000000006</v>
      </c>
      <c r="Q32" s="143">
        <f t="shared" si="2"/>
        <v>2.0361999999999938</v>
      </c>
      <c r="R32" s="149">
        <v>7.51E-2</v>
      </c>
      <c r="S32" s="149">
        <v>3.4599999999999999E-2</v>
      </c>
      <c r="T32" s="149">
        <v>0</v>
      </c>
      <c r="U32" s="149">
        <v>4.3E-3</v>
      </c>
      <c r="V32" s="149">
        <v>1.194</v>
      </c>
      <c r="W32" s="149">
        <v>0</v>
      </c>
      <c r="X32" s="149">
        <v>6.4909999999999997</v>
      </c>
      <c r="Y32" s="149">
        <v>5.16E-2</v>
      </c>
      <c r="Z32" s="149">
        <v>1.3859999999999999</v>
      </c>
      <c r="AA32" s="149">
        <v>2.5939999999999999</v>
      </c>
      <c r="AB32" s="149">
        <v>2.617</v>
      </c>
      <c r="AC32" s="149">
        <v>1.335</v>
      </c>
      <c r="AD32" s="145">
        <v>15.7826</v>
      </c>
    </row>
    <row r="33" spans="1:33" ht="17" x14ac:dyDescent="0.2">
      <c r="A33" s="145" t="s">
        <v>425</v>
      </c>
      <c r="B33" s="146">
        <v>90.86385243901708</v>
      </c>
      <c r="C33" s="146">
        <v>-548.92885210363738</v>
      </c>
      <c r="D33" s="147">
        <v>0.69530000000000003</v>
      </c>
      <c r="E33" s="147">
        <v>5.9900000000000002E-2</v>
      </c>
      <c r="F33" s="147">
        <v>0</v>
      </c>
      <c r="G33" s="147">
        <v>2.3400000000000001E-2</v>
      </c>
      <c r="H33" s="145">
        <v>4.47</v>
      </c>
      <c r="I33" s="147">
        <v>2.52E-2</v>
      </c>
      <c r="J33" s="145">
        <v>45.33</v>
      </c>
      <c r="K33" s="148">
        <v>0.31430000000000002</v>
      </c>
      <c r="L33" s="145">
        <v>11.39</v>
      </c>
      <c r="M33" s="145">
        <v>11.86</v>
      </c>
      <c r="N33" s="145">
        <v>15.22</v>
      </c>
      <c r="O33" s="145">
        <v>8.41</v>
      </c>
      <c r="P33" s="148">
        <v>97.798199999999994</v>
      </c>
      <c r="Q33" s="143">
        <f t="shared" si="2"/>
        <v>2.2018000000000058</v>
      </c>
      <c r="R33" s="149">
        <v>7.5499999999999998E-2</v>
      </c>
      <c r="S33" s="149">
        <v>2.7300000000000001E-2</v>
      </c>
      <c r="T33" s="149">
        <v>0</v>
      </c>
      <c r="U33" s="149">
        <v>2.8999999999999998E-3</v>
      </c>
      <c r="V33" s="149">
        <v>1.25</v>
      </c>
      <c r="W33" s="149">
        <v>2.8999999999999998E-3</v>
      </c>
      <c r="X33" s="149">
        <v>6.54</v>
      </c>
      <c r="Y33" s="149">
        <v>5.79E-2</v>
      </c>
      <c r="Z33" s="149">
        <v>1.3740000000000001</v>
      </c>
      <c r="AA33" s="149">
        <v>2.5499999999999998</v>
      </c>
      <c r="AB33" s="149">
        <v>2.589</v>
      </c>
      <c r="AC33" s="149">
        <v>1.3</v>
      </c>
      <c r="AD33" s="145">
        <v>15.769500000000001</v>
      </c>
    </row>
    <row r="34" spans="1:33" ht="17" x14ac:dyDescent="0.2">
      <c r="A34" s="145" t="s">
        <v>426</v>
      </c>
      <c r="B34" s="146">
        <v>136.66778240141778</v>
      </c>
      <c r="C34" s="146">
        <v>-503.12492214123671</v>
      </c>
      <c r="D34" s="147">
        <v>0.73819999999999997</v>
      </c>
      <c r="E34" s="147">
        <v>4.3999999999999997E-2</v>
      </c>
      <c r="F34" s="147">
        <v>0</v>
      </c>
      <c r="G34" s="147">
        <v>5.5300000000000002E-2</v>
      </c>
      <c r="H34" s="145">
        <v>4.34</v>
      </c>
      <c r="I34" s="147">
        <v>1.5800000000000002E-2</v>
      </c>
      <c r="J34" s="145">
        <v>45.28</v>
      </c>
      <c r="K34" s="148">
        <v>0.30520000000000003</v>
      </c>
      <c r="L34" s="145">
        <v>11.16</v>
      </c>
      <c r="M34" s="145">
        <v>12.03</v>
      </c>
      <c r="N34" s="145">
        <v>15.22</v>
      </c>
      <c r="O34" s="145">
        <v>8.4600000000000009</v>
      </c>
      <c r="P34" s="148">
        <v>97.648600000000002</v>
      </c>
      <c r="Q34" s="143">
        <f t="shared" si="2"/>
        <v>2.3513999999999982</v>
      </c>
      <c r="R34" s="149">
        <v>8.0100000000000005E-2</v>
      </c>
      <c r="S34" s="149">
        <v>2.01E-2</v>
      </c>
      <c r="T34" s="149">
        <v>0</v>
      </c>
      <c r="U34" s="149">
        <v>6.7999999999999996E-3</v>
      </c>
      <c r="V34" s="149">
        <v>1.2150000000000001</v>
      </c>
      <c r="W34" s="149">
        <v>1.8E-3</v>
      </c>
      <c r="X34" s="149">
        <v>6.5339999999999998</v>
      </c>
      <c r="Y34" s="149">
        <v>5.62E-2</v>
      </c>
      <c r="Z34" s="149">
        <v>1.347</v>
      </c>
      <c r="AA34" s="149">
        <v>2.5880000000000001</v>
      </c>
      <c r="AB34" s="149">
        <v>2.589</v>
      </c>
      <c r="AC34" s="149">
        <v>1.3080000000000001</v>
      </c>
      <c r="AD34" s="145">
        <v>15.746</v>
      </c>
    </row>
    <row r="35" spans="1:33" ht="17" x14ac:dyDescent="0.2">
      <c r="A35" s="145" t="s">
        <v>427</v>
      </c>
      <c r="B35" s="146">
        <v>181.66778240141949</v>
      </c>
      <c r="C35" s="146">
        <v>-458.124922141235</v>
      </c>
      <c r="D35" s="147">
        <v>0.60799999999999998</v>
      </c>
      <c r="E35" s="147">
        <v>7.6499999999999999E-2</v>
      </c>
      <c r="F35" s="147">
        <v>0</v>
      </c>
      <c r="G35" s="147">
        <v>5.9799999999999999E-2</v>
      </c>
      <c r="H35" s="145">
        <v>3.61</v>
      </c>
      <c r="I35" s="147">
        <v>3.4500000000000003E-2</v>
      </c>
      <c r="J35" s="145">
        <v>46.67</v>
      </c>
      <c r="K35" s="148">
        <v>0.30919999999999997</v>
      </c>
      <c r="L35" s="145">
        <v>11.42</v>
      </c>
      <c r="M35" s="145">
        <v>12.72</v>
      </c>
      <c r="N35" s="145">
        <v>13.12</v>
      </c>
      <c r="O35" s="145">
        <v>9.15</v>
      </c>
      <c r="P35" s="148">
        <v>97.778099999999995</v>
      </c>
      <c r="Q35" s="143">
        <f t="shared" si="2"/>
        <v>2.2219000000000051</v>
      </c>
      <c r="R35" s="149">
        <v>6.59E-2</v>
      </c>
      <c r="S35" s="149">
        <v>3.49E-2</v>
      </c>
      <c r="T35" s="149">
        <v>0</v>
      </c>
      <c r="U35" s="149">
        <v>7.3000000000000001E-3</v>
      </c>
      <c r="V35" s="149">
        <v>1.0089999999999999</v>
      </c>
      <c r="W35" s="149">
        <v>3.8999999999999998E-3</v>
      </c>
      <c r="X35" s="149">
        <v>6.7279999999999998</v>
      </c>
      <c r="Y35" s="149">
        <v>5.6899999999999999E-2</v>
      </c>
      <c r="Z35" s="149">
        <v>1.377</v>
      </c>
      <c r="AA35" s="149">
        <v>2.7330000000000001</v>
      </c>
      <c r="AB35" s="149">
        <v>2.2290000000000001</v>
      </c>
      <c r="AC35" s="149">
        <v>1.413</v>
      </c>
      <c r="AD35" s="145">
        <v>15.6579</v>
      </c>
    </row>
    <row r="36" spans="1:33" ht="17" x14ac:dyDescent="0.2">
      <c r="A36" s="145" t="s">
        <v>428</v>
      </c>
      <c r="B36" s="146">
        <v>227.47171236380663</v>
      </c>
      <c r="C36" s="146">
        <v>-412.32099217884786</v>
      </c>
      <c r="D36" s="147">
        <v>0.69240000000000002</v>
      </c>
      <c r="E36" s="147">
        <v>0.10780000000000001</v>
      </c>
      <c r="F36" s="147">
        <v>0</v>
      </c>
      <c r="G36" s="147">
        <v>2.24E-2</v>
      </c>
      <c r="H36" s="145">
        <v>4.2699999999999996</v>
      </c>
      <c r="I36" s="147">
        <v>1.47E-2</v>
      </c>
      <c r="J36" s="145">
        <v>44.97</v>
      </c>
      <c r="K36" s="148">
        <v>0.3357</v>
      </c>
      <c r="L36" s="145">
        <v>11.48</v>
      </c>
      <c r="M36" s="145">
        <v>12.07</v>
      </c>
      <c r="N36" s="145">
        <v>15.31</v>
      </c>
      <c r="O36" s="145">
        <v>8.49</v>
      </c>
      <c r="P36" s="148">
        <v>97.763099999999994</v>
      </c>
      <c r="Q36" s="143">
        <f t="shared" si="2"/>
        <v>2.2369000000000057</v>
      </c>
      <c r="R36" s="149">
        <v>7.5300000000000006E-2</v>
      </c>
      <c r="S36" s="149">
        <v>4.9299999999999997E-2</v>
      </c>
      <c r="T36" s="149">
        <v>0</v>
      </c>
      <c r="U36" s="149">
        <v>2.7000000000000001E-3</v>
      </c>
      <c r="V36" s="149">
        <v>1.196</v>
      </c>
      <c r="W36" s="149">
        <v>1.6999999999999999E-3</v>
      </c>
      <c r="X36" s="149">
        <v>6.5</v>
      </c>
      <c r="Y36" s="149">
        <v>6.1899999999999997E-2</v>
      </c>
      <c r="Z36" s="149">
        <v>1.387</v>
      </c>
      <c r="AA36" s="149">
        <v>2.6</v>
      </c>
      <c r="AB36" s="149">
        <v>2.6080000000000001</v>
      </c>
      <c r="AC36" s="149">
        <v>1.3160000000000001</v>
      </c>
      <c r="AD36" s="145">
        <v>15.7979</v>
      </c>
    </row>
    <row r="37" spans="1:33" ht="17" x14ac:dyDescent="0.2">
      <c r="A37" s="145" t="s">
        <v>429</v>
      </c>
      <c r="B37" s="146">
        <v>272.47171236380836</v>
      </c>
      <c r="C37" s="146">
        <v>-367.32099217884615</v>
      </c>
      <c r="D37" s="147">
        <v>0.71530000000000005</v>
      </c>
      <c r="E37" s="147">
        <v>7.5899999999999995E-2</v>
      </c>
      <c r="F37" s="147">
        <v>0</v>
      </c>
      <c r="G37" s="147">
        <v>4.53E-2</v>
      </c>
      <c r="H37" s="145">
        <v>4.5199999999999996</v>
      </c>
      <c r="I37" s="147">
        <v>2.3999999999999998E-3</v>
      </c>
      <c r="J37" s="145">
        <v>45.18</v>
      </c>
      <c r="K37" s="148">
        <v>0.3654</v>
      </c>
      <c r="L37" s="145">
        <v>11.3</v>
      </c>
      <c r="M37" s="145">
        <v>12.09</v>
      </c>
      <c r="N37" s="145">
        <v>15.21</v>
      </c>
      <c r="O37" s="145">
        <v>8.49</v>
      </c>
      <c r="P37" s="148">
        <v>97.994399999999999</v>
      </c>
      <c r="Q37" s="143">
        <f t="shared" si="2"/>
        <v>2.0056000000000012</v>
      </c>
      <c r="R37" s="149">
        <v>7.7600000000000002E-2</v>
      </c>
      <c r="S37" s="149">
        <v>3.4599999999999999E-2</v>
      </c>
      <c r="T37" s="149">
        <v>0</v>
      </c>
      <c r="U37" s="149">
        <v>5.4999999999999997E-3</v>
      </c>
      <c r="V37" s="149">
        <v>1.264</v>
      </c>
      <c r="W37" s="149">
        <v>2.9999999999999997E-4</v>
      </c>
      <c r="X37" s="149">
        <v>6.5129999999999999</v>
      </c>
      <c r="Y37" s="149">
        <v>6.7199999999999996E-2</v>
      </c>
      <c r="Z37" s="149">
        <v>1.3620000000000001</v>
      </c>
      <c r="AA37" s="149">
        <v>2.597</v>
      </c>
      <c r="AB37" s="149">
        <v>2.585</v>
      </c>
      <c r="AC37" s="149">
        <v>1.3120000000000001</v>
      </c>
      <c r="AD37" s="145">
        <v>15.818300000000001</v>
      </c>
    </row>
    <row r="38" spans="1:33" ht="17" x14ac:dyDescent="0.2">
      <c r="A38" s="145" t="s">
        <v>430</v>
      </c>
      <c r="B38" s="146">
        <v>320.10573381907204</v>
      </c>
      <c r="C38" s="146">
        <v>-319.68697072358248</v>
      </c>
      <c r="D38" s="147">
        <v>0.63049999999999995</v>
      </c>
      <c r="E38" s="147">
        <v>0.15759999999999999</v>
      </c>
      <c r="F38" s="147">
        <v>0</v>
      </c>
      <c r="G38" s="147">
        <v>1.24E-2</v>
      </c>
      <c r="H38" s="145">
        <v>4.32</v>
      </c>
      <c r="I38" s="147">
        <v>8.8000000000000005E-3</v>
      </c>
      <c r="J38" s="145">
        <v>44.76</v>
      </c>
      <c r="K38" s="148">
        <v>0.3624</v>
      </c>
      <c r="L38" s="145">
        <v>11.64</v>
      </c>
      <c r="M38" s="145">
        <v>11.7</v>
      </c>
      <c r="N38" s="145">
        <v>15.67</v>
      </c>
      <c r="O38" s="145">
        <v>8.64</v>
      </c>
      <c r="P38" s="148">
        <v>97.901700000000005</v>
      </c>
      <c r="Q38" s="143">
        <f t="shared" si="2"/>
        <v>2.0982999999999947</v>
      </c>
      <c r="R38" s="149">
        <v>6.8599999999999994E-2</v>
      </c>
      <c r="S38" s="149">
        <v>7.2099999999999997E-2</v>
      </c>
      <c r="T38" s="149">
        <v>0</v>
      </c>
      <c r="U38" s="149">
        <v>1.5E-3</v>
      </c>
      <c r="V38" s="149">
        <v>1.2110000000000001</v>
      </c>
      <c r="W38" s="149">
        <v>1E-3</v>
      </c>
      <c r="X38" s="149">
        <v>6.4729999999999999</v>
      </c>
      <c r="Y38" s="149">
        <v>6.6900000000000001E-2</v>
      </c>
      <c r="Z38" s="149">
        <v>1.4079999999999999</v>
      </c>
      <c r="AA38" s="149">
        <v>2.5230000000000001</v>
      </c>
      <c r="AB38" s="149">
        <v>2.6709999999999998</v>
      </c>
      <c r="AC38" s="149">
        <v>1.339</v>
      </c>
      <c r="AD38" s="145">
        <v>15.835100000000001</v>
      </c>
    </row>
    <row r="39" spans="1:33" ht="17" x14ac:dyDescent="0.2">
      <c r="A39" s="145" t="s">
        <v>431</v>
      </c>
      <c r="B39" s="146">
        <v>366.20345610553727</v>
      </c>
      <c r="C39" s="146">
        <v>-273.58924843711725</v>
      </c>
      <c r="D39" s="147">
        <v>0.75309999999999999</v>
      </c>
      <c r="E39" s="147">
        <v>5.3800000000000001E-2</v>
      </c>
      <c r="F39" s="147">
        <v>0</v>
      </c>
      <c r="G39" s="147">
        <v>2.5899999999999999E-2</v>
      </c>
      <c r="H39" s="145">
        <v>4.38</v>
      </c>
      <c r="I39" s="147">
        <v>0</v>
      </c>
      <c r="J39" s="145">
        <v>44.97</v>
      </c>
      <c r="K39" s="148">
        <v>0.35759999999999997</v>
      </c>
      <c r="L39" s="145">
        <v>11.79</v>
      </c>
      <c r="M39" s="145">
        <v>12.08</v>
      </c>
      <c r="N39" s="145">
        <v>15.2</v>
      </c>
      <c r="O39" s="145">
        <v>8.4700000000000006</v>
      </c>
      <c r="P39" s="148">
        <v>98.080500000000001</v>
      </c>
      <c r="Q39" s="143">
        <f t="shared" si="2"/>
        <v>1.9194999999999993</v>
      </c>
      <c r="R39" s="149">
        <v>8.1699999999999995E-2</v>
      </c>
      <c r="S39" s="149">
        <v>2.46E-2</v>
      </c>
      <c r="T39" s="149">
        <v>0</v>
      </c>
      <c r="U39" s="149">
        <v>3.2000000000000002E-3</v>
      </c>
      <c r="V39" s="149">
        <v>1.226</v>
      </c>
      <c r="W39" s="149">
        <v>0</v>
      </c>
      <c r="X39" s="149">
        <v>6.4889999999999999</v>
      </c>
      <c r="Y39" s="149">
        <v>6.5799999999999997E-2</v>
      </c>
      <c r="Z39" s="149">
        <v>1.423</v>
      </c>
      <c r="AA39" s="149">
        <v>2.5990000000000002</v>
      </c>
      <c r="AB39" s="149">
        <v>2.5859999999999999</v>
      </c>
      <c r="AC39" s="149">
        <v>1.3089999999999999</v>
      </c>
      <c r="AD39" s="145">
        <v>15.807399999999999</v>
      </c>
    </row>
    <row r="40" spans="1:33" ht="17" x14ac:dyDescent="0.2">
      <c r="A40" s="145" t="s">
        <v>432</v>
      </c>
      <c r="B40" s="146">
        <v>410.75679492542247</v>
      </c>
      <c r="C40" s="146">
        <v>-229.03590961723205</v>
      </c>
      <c r="D40" s="147">
        <v>0.7228</v>
      </c>
      <c r="E40" s="147">
        <v>0.15939999999999999</v>
      </c>
      <c r="F40" s="147">
        <v>0</v>
      </c>
      <c r="G40" s="147">
        <v>2.9399999999999999E-2</v>
      </c>
      <c r="H40" s="145">
        <v>4.46</v>
      </c>
      <c r="I40" s="147">
        <v>3.5999999999999999E-3</v>
      </c>
      <c r="J40" s="145">
        <v>44.75</v>
      </c>
      <c r="K40" s="148">
        <v>0.33879999999999999</v>
      </c>
      <c r="L40" s="145">
        <v>11.71</v>
      </c>
      <c r="M40" s="145">
        <v>11.91</v>
      </c>
      <c r="N40" s="145">
        <v>15.49</v>
      </c>
      <c r="O40" s="145">
        <v>8.52</v>
      </c>
      <c r="P40" s="148">
        <v>98.093999999999994</v>
      </c>
      <c r="Q40" s="143">
        <f t="shared" si="2"/>
        <v>1.9060000000000059</v>
      </c>
      <c r="R40" s="149">
        <v>7.85E-2</v>
      </c>
      <c r="S40" s="149">
        <v>7.2800000000000004E-2</v>
      </c>
      <c r="T40" s="149">
        <v>0</v>
      </c>
      <c r="U40" s="149">
        <v>3.5999999999999999E-3</v>
      </c>
      <c r="V40" s="149">
        <v>1.2490000000000001</v>
      </c>
      <c r="W40" s="149">
        <v>4.0000000000000002E-4</v>
      </c>
      <c r="X40" s="149">
        <v>6.4640000000000004</v>
      </c>
      <c r="Y40" s="149">
        <v>6.2399999999999997E-2</v>
      </c>
      <c r="Z40" s="149">
        <v>1.4139999999999999</v>
      </c>
      <c r="AA40" s="149">
        <v>2.5659999999999998</v>
      </c>
      <c r="AB40" s="149">
        <v>2.6379999999999999</v>
      </c>
      <c r="AC40" s="149">
        <v>1.319</v>
      </c>
      <c r="AD40" s="145">
        <v>15.867800000000001</v>
      </c>
    </row>
    <row r="41" spans="1:33" ht="17" x14ac:dyDescent="0.2">
      <c r="A41" s="145" t="s">
        <v>433</v>
      </c>
      <c r="B41" s="146">
        <v>465.91112385797527</v>
      </c>
      <c r="C41" s="146">
        <v>-173.88158068467925</v>
      </c>
      <c r="D41" s="147">
        <v>0.63539999999999996</v>
      </c>
      <c r="E41" s="147">
        <v>1.26E-2</v>
      </c>
      <c r="F41" s="147">
        <v>5.9999999999999995E-4</v>
      </c>
      <c r="G41" s="147">
        <v>6.1600000000000002E-2</v>
      </c>
      <c r="H41" s="145">
        <v>4.3499999999999996</v>
      </c>
      <c r="I41" s="147">
        <v>2E-3</v>
      </c>
      <c r="J41" s="145">
        <v>43.87</v>
      </c>
      <c r="K41" s="148">
        <v>0.37119999999999997</v>
      </c>
      <c r="L41" s="145">
        <v>12.21</v>
      </c>
      <c r="M41" s="145">
        <v>11.54</v>
      </c>
      <c r="N41" s="145">
        <v>15.81</v>
      </c>
      <c r="O41" s="145">
        <v>8.6</v>
      </c>
      <c r="P41" s="148">
        <v>97.463399999999993</v>
      </c>
      <c r="Q41" s="143">
        <f t="shared" si="2"/>
        <v>2.5366000000000071</v>
      </c>
      <c r="R41" s="149">
        <v>6.9699999999999998E-2</v>
      </c>
      <c r="S41" s="149">
        <v>5.7999999999999996E-3</v>
      </c>
      <c r="T41" s="149">
        <v>1E-4</v>
      </c>
      <c r="U41" s="149">
        <v>7.6E-3</v>
      </c>
      <c r="V41" s="149">
        <v>1.23</v>
      </c>
      <c r="W41" s="149">
        <v>2.0000000000000001E-4</v>
      </c>
      <c r="X41" s="149">
        <v>6.3949999999999996</v>
      </c>
      <c r="Y41" s="149">
        <v>6.9000000000000006E-2</v>
      </c>
      <c r="Z41" s="149">
        <v>1.4890000000000001</v>
      </c>
      <c r="AA41" s="149">
        <v>2.5070000000000001</v>
      </c>
      <c r="AB41" s="149">
        <v>2.7160000000000002</v>
      </c>
      <c r="AC41" s="149">
        <v>1.343</v>
      </c>
      <c r="AD41" s="145">
        <v>15.8325</v>
      </c>
    </row>
    <row r="42" spans="1:33" ht="17" x14ac:dyDescent="0.2">
      <c r="A42" s="145" t="s">
        <v>434</v>
      </c>
      <c r="B42" s="146">
        <v>505.57218788808325</v>
      </c>
      <c r="C42" s="146">
        <v>-134.22051665457124</v>
      </c>
      <c r="D42" s="147">
        <v>0.7107</v>
      </c>
      <c r="E42" s="147">
        <v>2.2599999999999999E-2</v>
      </c>
      <c r="F42" s="147">
        <v>5.0000000000000001E-3</v>
      </c>
      <c r="G42" s="147">
        <v>3.4299999999999997E-2</v>
      </c>
      <c r="H42" s="145">
        <v>4.42</v>
      </c>
      <c r="I42" s="147">
        <v>1.1299999999999999E-2</v>
      </c>
      <c r="J42" s="145">
        <v>44.49</v>
      </c>
      <c r="K42" s="148">
        <v>0.33739999999999998</v>
      </c>
      <c r="L42" s="145">
        <v>12.04</v>
      </c>
      <c r="M42" s="145">
        <v>11.58</v>
      </c>
      <c r="N42" s="145">
        <v>15.51</v>
      </c>
      <c r="O42" s="145">
        <v>8.64</v>
      </c>
      <c r="P42" s="148">
        <v>97.801400000000001</v>
      </c>
      <c r="Q42" s="143">
        <f t="shared" si="2"/>
        <v>2.198599999999999</v>
      </c>
      <c r="R42" s="149">
        <v>7.7499999999999999E-2</v>
      </c>
      <c r="S42" s="149">
        <v>1.04E-2</v>
      </c>
      <c r="T42" s="149">
        <v>1.1999999999999999E-3</v>
      </c>
      <c r="U42" s="149">
        <v>4.1999999999999997E-3</v>
      </c>
      <c r="V42" s="149">
        <v>1.244</v>
      </c>
      <c r="W42" s="149">
        <v>1.2999999999999999E-3</v>
      </c>
      <c r="X42" s="149">
        <v>6.4509999999999996</v>
      </c>
      <c r="Y42" s="149">
        <v>6.2399999999999997E-2</v>
      </c>
      <c r="Z42" s="149">
        <v>1.46</v>
      </c>
      <c r="AA42" s="149">
        <v>2.504</v>
      </c>
      <c r="AB42" s="149">
        <v>2.6509999999999998</v>
      </c>
      <c r="AC42" s="149">
        <v>1.3420000000000001</v>
      </c>
      <c r="AD42" s="145">
        <v>15.808999999999999</v>
      </c>
    </row>
    <row r="43" spans="1:33" ht="17" x14ac:dyDescent="0.2">
      <c r="A43" s="145" t="s">
        <v>435</v>
      </c>
      <c r="B43" s="146">
        <v>550.57218788807143</v>
      </c>
      <c r="C43" s="146">
        <v>-89.220516654583037</v>
      </c>
      <c r="D43" s="147">
        <v>0.68510000000000004</v>
      </c>
      <c r="E43" s="147">
        <v>9.2100000000000001E-2</v>
      </c>
      <c r="F43" s="147">
        <v>2.0999999999999999E-3</v>
      </c>
      <c r="G43" s="147">
        <v>5.4199999999999998E-2</v>
      </c>
      <c r="H43" s="145">
        <v>4.24</v>
      </c>
      <c r="I43" s="147">
        <v>2.58E-2</v>
      </c>
      <c r="J43" s="145">
        <v>44.25</v>
      </c>
      <c r="K43" s="148">
        <v>0.34300000000000003</v>
      </c>
      <c r="L43" s="145">
        <v>12.44</v>
      </c>
      <c r="M43" s="145">
        <v>11.42</v>
      </c>
      <c r="N43" s="145">
        <v>15.79</v>
      </c>
      <c r="O43" s="145">
        <v>8.5399999999999991</v>
      </c>
      <c r="P43" s="148">
        <v>97.882400000000004</v>
      </c>
      <c r="Q43" s="143">
        <f t="shared" si="2"/>
        <v>2.1175999999999959</v>
      </c>
      <c r="R43" s="149">
        <v>7.4800000000000005E-2</v>
      </c>
      <c r="S43" s="149">
        <v>4.2299999999999997E-2</v>
      </c>
      <c r="T43" s="149">
        <v>5.0000000000000001E-4</v>
      </c>
      <c r="U43" s="149">
        <v>6.7000000000000002E-3</v>
      </c>
      <c r="V43" s="149">
        <v>1.1930000000000001</v>
      </c>
      <c r="W43" s="149">
        <v>3.0000000000000001E-3</v>
      </c>
      <c r="X43" s="149">
        <v>6.4240000000000004</v>
      </c>
      <c r="Y43" s="149">
        <v>6.3500000000000001E-2</v>
      </c>
      <c r="Z43" s="149">
        <v>1.51</v>
      </c>
      <c r="AA43" s="149">
        <v>2.472</v>
      </c>
      <c r="AB43" s="149">
        <v>2.702</v>
      </c>
      <c r="AC43" s="149">
        <v>1.3280000000000001</v>
      </c>
      <c r="AD43" s="145">
        <v>15.819800000000001</v>
      </c>
    </row>
    <row r="44" spans="1:33" ht="17" x14ac:dyDescent="0.2">
      <c r="A44" s="145" t="s">
        <v>436</v>
      </c>
      <c r="B44" s="146">
        <v>596.37611785047216</v>
      </c>
      <c r="C44" s="146">
        <v>-43.416586692182321</v>
      </c>
      <c r="D44" s="147">
        <v>0.63749999999999996</v>
      </c>
      <c r="E44" s="147">
        <v>4.8399999999999999E-2</v>
      </c>
      <c r="F44" s="147">
        <v>5.3E-3</v>
      </c>
      <c r="G44" s="147">
        <v>4.5199999999999997E-2</v>
      </c>
      <c r="H44" s="145">
        <v>4.46</v>
      </c>
      <c r="I44" s="147">
        <v>3.2800000000000003E-2</v>
      </c>
      <c r="J44" s="145">
        <v>44.14</v>
      </c>
      <c r="K44" s="148">
        <v>0.29920000000000002</v>
      </c>
      <c r="L44" s="145">
        <v>12.37</v>
      </c>
      <c r="M44" s="145">
        <v>11.57</v>
      </c>
      <c r="N44" s="145">
        <v>15.49</v>
      </c>
      <c r="O44" s="145">
        <v>8.56</v>
      </c>
      <c r="P44" s="148">
        <v>97.658500000000004</v>
      </c>
      <c r="Q44" s="143">
        <f t="shared" si="2"/>
        <v>2.3414999999999964</v>
      </c>
      <c r="R44" s="149">
        <v>6.9800000000000001E-2</v>
      </c>
      <c r="S44" s="149">
        <v>2.23E-2</v>
      </c>
      <c r="T44" s="149">
        <v>1.2999999999999999E-3</v>
      </c>
      <c r="U44" s="149">
        <v>5.5999999999999999E-3</v>
      </c>
      <c r="V44" s="149">
        <v>1.258</v>
      </c>
      <c r="W44" s="149">
        <v>3.8E-3</v>
      </c>
      <c r="X44" s="149">
        <v>6.4260000000000002</v>
      </c>
      <c r="Y44" s="149">
        <v>5.5599999999999997E-2</v>
      </c>
      <c r="Z44" s="149">
        <v>1.506</v>
      </c>
      <c r="AA44" s="149">
        <v>2.5110000000000001</v>
      </c>
      <c r="AB44" s="149">
        <v>2.6579999999999999</v>
      </c>
      <c r="AC44" s="149">
        <v>1.3360000000000001</v>
      </c>
      <c r="AD44" s="145">
        <v>15.853400000000001</v>
      </c>
    </row>
    <row r="45" spans="1:33" ht="17" x14ac:dyDescent="0.2">
      <c r="A45" s="145" t="s">
        <v>437</v>
      </c>
      <c r="B45" s="146">
        <v>639.79270454265452</v>
      </c>
      <c r="C45" s="146">
        <v>0</v>
      </c>
      <c r="D45" s="147">
        <v>0.50429999999999997</v>
      </c>
      <c r="E45" s="147">
        <v>5.8099999999999999E-2</v>
      </c>
      <c r="F45" s="147">
        <v>3.5000000000000001E-3</v>
      </c>
      <c r="G45" s="147">
        <v>6.8500000000000005E-2</v>
      </c>
      <c r="H45" s="145">
        <v>4.43</v>
      </c>
      <c r="I45" s="147">
        <v>4.8899999999999999E-2</v>
      </c>
      <c r="J45" s="145">
        <v>41.03</v>
      </c>
      <c r="K45" s="148">
        <v>0.4128</v>
      </c>
      <c r="L45" s="145">
        <v>13.04</v>
      </c>
      <c r="M45" s="145">
        <v>10.42</v>
      </c>
      <c r="N45" s="145">
        <v>18.079999999999998</v>
      </c>
      <c r="O45" s="145">
        <v>9.18</v>
      </c>
      <c r="P45" s="148">
        <v>97.276200000000003</v>
      </c>
      <c r="Q45" s="143">
        <f t="shared" si="2"/>
        <v>2.7237999999999971</v>
      </c>
      <c r="R45" s="149">
        <v>5.6000000000000001E-2</v>
      </c>
      <c r="S45" s="149">
        <v>2.7099999999999999E-2</v>
      </c>
      <c r="T45" s="149">
        <v>8.9999999999999998E-4</v>
      </c>
      <c r="U45" s="149">
        <v>8.6E-3</v>
      </c>
      <c r="V45" s="149">
        <v>1.2689999999999999</v>
      </c>
      <c r="W45" s="149">
        <v>5.7000000000000002E-3</v>
      </c>
      <c r="X45" s="149">
        <v>6.06</v>
      </c>
      <c r="Y45" s="149">
        <v>7.7799999999999994E-2</v>
      </c>
      <c r="Z45" s="149">
        <v>1.61</v>
      </c>
      <c r="AA45" s="149">
        <v>2.2949999999999999</v>
      </c>
      <c r="AB45" s="149">
        <v>3.1469999999999998</v>
      </c>
      <c r="AC45" s="149">
        <v>1.4530000000000001</v>
      </c>
      <c r="AD45" s="145">
        <v>16.010200000000001</v>
      </c>
    </row>
    <row r="46" spans="1:33" x14ac:dyDescent="0.2">
      <c r="A46" s="145"/>
      <c r="B46" s="146"/>
      <c r="C46" s="146"/>
      <c r="D46" s="147"/>
      <c r="E46" s="147"/>
      <c r="F46" s="147"/>
      <c r="G46" s="147"/>
      <c r="H46" s="148"/>
      <c r="I46" s="147"/>
      <c r="J46" s="148"/>
      <c r="K46" s="148"/>
      <c r="L46" s="148"/>
      <c r="M46" s="148"/>
      <c r="N46" s="148"/>
      <c r="O46" s="148"/>
      <c r="P46" s="148"/>
      <c r="Q46" s="143"/>
      <c r="R46" s="149"/>
      <c r="S46" s="149"/>
      <c r="T46" s="149"/>
      <c r="U46" s="149"/>
      <c r="V46" s="149"/>
      <c r="W46" s="149"/>
      <c r="X46" s="149"/>
      <c r="Y46" s="149"/>
      <c r="Z46" s="149"/>
      <c r="AA46" s="149"/>
      <c r="AB46" s="149"/>
      <c r="AC46" s="149"/>
      <c r="AD46" s="148"/>
    </row>
    <row r="47" spans="1:33" ht="68" x14ac:dyDescent="0.2">
      <c r="A47" s="145" t="s">
        <v>198</v>
      </c>
      <c r="B47" s="146"/>
      <c r="C47" s="146"/>
      <c r="D47" s="147">
        <f>AVERAGE(D31:D45)</f>
        <v>0.66671333333333338</v>
      </c>
      <c r="E47" s="147">
        <f t="shared" ref="E47:AD47" si="4">AVERAGE(E31:E45)</f>
        <v>7.7520000000000006E-2</v>
      </c>
      <c r="F47" s="147">
        <f t="shared" si="4"/>
        <v>1.1000000000000001E-3</v>
      </c>
      <c r="G47" s="147">
        <f t="shared" si="4"/>
        <v>3.9300000000000002E-2</v>
      </c>
      <c r="H47" s="148">
        <f t="shared" si="4"/>
        <v>4.3286666666666669</v>
      </c>
      <c r="I47" s="147">
        <f t="shared" si="4"/>
        <v>1.6153333333333332E-2</v>
      </c>
      <c r="J47" s="148">
        <f t="shared" si="4"/>
        <v>44.705333333333328</v>
      </c>
      <c r="K47" s="148">
        <f t="shared" si="4"/>
        <v>0.33435333333333339</v>
      </c>
      <c r="L47" s="148">
        <f t="shared" si="4"/>
        <v>11.762</v>
      </c>
      <c r="M47" s="148">
        <f t="shared" si="4"/>
        <v>11.835999999999997</v>
      </c>
      <c r="N47" s="148">
        <f t="shared" si="4"/>
        <v>15.387333333333334</v>
      </c>
      <c r="O47" s="148">
        <f t="shared" si="4"/>
        <v>8.6266666666666669</v>
      </c>
      <c r="P47" s="148">
        <f t="shared" si="4"/>
        <v>97.781220000000019</v>
      </c>
      <c r="Q47" s="148">
        <f t="shared" si="4"/>
        <v>2.2187800000000002</v>
      </c>
      <c r="R47" s="149">
        <f t="shared" si="4"/>
        <v>7.2600000000000012E-2</v>
      </c>
      <c r="S47" s="149">
        <f t="shared" si="4"/>
        <v>3.5480000000000005E-2</v>
      </c>
      <c r="T47" s="149">
        <f t="shared" si="4"/>
        <v>2.6666666666666668E-4</v>
      </c>
      <c r="U47" s="149">
        <f t="shared" si="4"/>
        <v>4.8399999999999997E-3</v>
      </c>
      <c r="V47" s="149">
        <f t="shared" si="4"/>
        <v>1.2158</v>
      </c>
      <c r="W47" s="149">
        <f t="shared" si="4"/>
        <v>1.8599999999999999E-3</v>
      </c>
      <c r="X47" s="149">
        <f t="shared" si="4"/>
        <v>6.4740000000000002</v>
      </c>
      <c r="Y47" s="149">
        <f t="shared" si="4"/>
        <v>6.1806666666666663E-2</v>
      </c>
      <c r="Z47" s="149">
        <f t="shared" si="4"/>
        <v>1.4248666666666667</v>
      </c>
      <c r="AA47" s="149">
        <f t="shared" si="4"/>
        <v>2.5550666666666673</v>
      </c>
      <c r="AB47" s="149">
        <f t="shared" si="4"/>
        <v>2.6277333333333335</v>
      </c>
      <c r="AC47" s="149">
        <f t="shared" si="4"/>
        <v>1.3389999999999997</v>
      </c>
      <c r="AD47" s="148">
        <f t="shared" si="4"/>
        <v>15.813353333333334</v>
      </c>
      <c r="AE47" s="137" t="s">
        <v>602</v>
      </c>
      <c r="AF47" s="137" t="s">
        <v>603</v>
      </c>
      <c r="AG47" s="137" t="s">
        <v>606</v>
      </c>
    </row>
    <row r="48" spans="1:33" x14ac:dyDescent="0.2">
      <c r="A48" s="145"/>
      <c r="B48" s="146"/>
      <c r="C48" s="146"/>
      <c r="D48" s="147"/>
      <c r="E48" s="147"/>
      <c r="F48" s="147"/>
      <c r="G48" s="147"/>
      <c r="H48" s="148"/>
      <c r="I48" s="147"/>
      <c r="J48" s="148"/>
      <c r="K48" s="148"/>
      <c r="L48" s="148"/>
      <c r="M48" s="148"/>
      <c r="N48" s="148"/>
      <c r="O48" s="148"/>
      <c r="P48" s="148"/>
      <c r="Q48" s="143"/>
      <c r="R48" s="149"/>
      <c r="S48" s="149"/>
      <c r="T48" s="149"/>
      <c r="U48" s="149"/>
      <c r="V48" s="149"/>
      <c r="W48" s="149"/>
      <c r="X48" s="149"/>
      <c r="Y48" s="149"/>
      <c r="Z48" s="149"/>
      <c r="AA48" s="149"/>
      <c r="AB48" s="149"/>
      <c r="AC48" s="149"/>
      <c r="AD48" s="148"/>
    </row>
    <row r="49" spans="1:30" ht="17" x14ac:dyDescent="0.2">
      <c r="A49" s="145" t="s">
        <v>438</v>
      </c>
      <c r="B49" s="146">
        <v>0</v>
      </c>
      <c r="C49" s="146">
        <v>-324.44136568592171</v>
      </c>
      <c r="D49" s="147">
        <v>0.51990000000000003</v>
      </c>
      <c r="E49" s="147">
        <v>1.09E-2</v>
      </c>
      <c r="F49" s="147">
        <v>9.4000000000000004E-3</v>
      </c>
      <c r="G49" s="147">
        <v>5.2499999999999998E-2</v>
      </c>
      <c r="H49" s="145">
        <v>3.1</v>
      </c>
      <c r="I49" s="147">
        <v>3.6799999999999999E-2</v>
      </c>
      <c r="J49" s="145">
        <v>46.85</v>
      </c>
      <c r="K49" s="148">
        <v>0.40510000000000002</v>
      </c>
      <c r="L49" s="145">
        <v>8.68</v>
      </c>
      <c r="M49" s="145">
        <v>14.99</v>
      </c>
      <c r="N49" s="145">
        <v>11.48</v>
      </c>
      <c r="O49" s="145">
        <v>9.9</v>
      </c>
      <c r="P49" s="148">
        <v>96.034700000000001</v>
      </c>
      <c r="Q49" s="143">
        <f t="shared" si="2"/>
        <v>3.9652999999999992</v>
      </c>
      <c r="R49" s="149">
        <v>5.6800000000000003E-2</v>
      </c>
      <c r="S49" s="149">
        <v>5.0000000000000001E-3</v>
      </c>
      <c r="T49" s="149">
        <v>2.3E-3</v>
      </c>
      <c r="U49" s="149">
        <v>6.4999999999999997E-3</v>
      </c>
      <c r="V49" s="149">
        <v>0.872</v>
      </c>
      <c r="W49" s="149">
        <v>4.1999999999999997E-3</v>
      </c>
      <c r="X49" s="149">
        <v>6.8049999999999997</v>
      </c>
      <c r="Y49" s="149">
        <v>7.51E-2</v>
      </c>
      <c r="Z49" s="149">
        <v>1.054</v>
      </c>
      <c r="AA49" s="149">
        <v>3.246</v>
      </c>
      <c r="AB49" s="149">
        <v>1.966</v>
      </c>
      <c r="AC49" s="149">
        <v>1.5409999999999999</v>
      </c>
      <c r="AD49" s="145">
        <v>15.633900000000001</v>
      </c>
    </row>
    <row r="50" spans="1:30" ht="17" x14ac:dyDescent="0.2">
      <c r="A50" s="145" t="s">
        <v>439</v>
      </c>
      <c r="B50" s="146">
        <v>34.655446902329082</v>
      </c>
      <c r="C50" s="146">
        <v>-289.78591878359265</v>
      </c>
      <c r="D50" s="147">
        <v>0.4914</v>
      </c>
      <c r="E50" s="147">
        <v>4.7999999999999996E-3</v>
      </c>
      <c r="F50" s="147">
        <v>9.7000000000000003E-3</v>
      </c>
      <c r="G50" s="147">
        <v>2.3E-2</v>
      </c>
      <c r="H50" s="145">
        <v>2.94</v>
      </c>
      <c r="I50" s="147">
        <v>6.4600000000000005E-2</v>
      </c>
      <c r="J50" s="145">
        <v>46.66</v>
      </c>
      <c r="K50" s="148">
        <v>0.39360000000000001</v>
      </c>
      <c r="L50" s="145">
        <v>8.5500000000000007</v>
      </c>
      <c r="M50" s="145">
        <v>15.07</v>
      </c>
      <c r="N50" s="145">
        <v>11.46</v>
      </c>
      <c r="O50" s="145">
        <v>9.99</v>
      </c>
      <c r="P50" s="148">
        <v>95.657200000000003</v>
      </c>
      <c r="Q50" s="143">
        <f t="shared" si="2"/>
        <v>4.3427999999999969</v>
      </c>
      <c r="R50" s="149">
        <v>5.3900000000000003E-2</v>
      </c>
      <c r="S50" s="149">
        <v>2.2000000000000001E-3</v>
      </c>
      <c r="T50" s="149">
        <v>2.3999999999999998E-3</v>
      </c>
      <c r="U50" s="149">
        <v>2.8E-3</v>
      </c>
      <c r="V50" s="149">
        <v>0.83</v>
      </c>
      <c r="W50" s="149">
        <v>7.4000000000000003E-3</v>
      </c>
      <c r="X50" s="149">
        <v>6.7990000000000004</v>
      </c>
      <c r="Y50" s="149">
        <v>7.3200000000000001E-2</v>
      </c>
      <c r="Z50" s="149">
        <v>1.042</v>
      </c>
      <c r="AA50" s="149">
        <v>3.274</v>
      </c>
      <c r="AB50" s="149">
        <v>1.968</v>
      </c>
      <c r="AC50" s="149">
        <v>1.56</v>
      </c>
      <c r="AD50" s="145">
        <v>15.615</v>
      </c>
    </row>
    <row r="51" spans="1:30" ht="17" x14ac:dyDescent="0.2">
      <c r="A51" s="145" t="s">
        <v>440</v>
      </c>
      <c r="B51" s="146">
        <v>61.821602316738833</v>
      </c>
      <c r="C51" s="146">
        <v>-262.61976336918292</v>
      </c>
      <c r="D51" s="147">
        <v>0.50360000000000005</v>
      </c>
      <c r="E51" s="147">
        <v>0</v>
      </c>
      <c r="F51" s="147">
        <v>1.12E-2</v>
      </c>
      <c r="G51" s="147">
        <v>2.5999999999999999E-2</v>
      </c>
      <c r="H51" s="145">
        <v>2.91</v>
      </c>
      <c r="I51" s="147">
        <v>5.16E-2</v>
      </c>
      <c r="J51" s="145">
        <v>46.66</v>
      </c>
      <c r="K51" s="148">
        <v>0.40600000000000003</v>
      </c>
      <c r="L51" s="145">
        <v>8.6300000000000008</v>
      </c>
      <c r="M51" s="145">
        <v>15.15</v>
      </c>
      <c r="N51" s="145">
        <v>11.34</v>
      </c>
      <c r="O51" s="145">
        <v>9.93</v>
      </c>
      <c r="P51" s="148">
        <v>95.618499999999997</v>
      </c>
      <c r="Q51" s="143">
        <f t="shared" si="2"/>
        <v>4.3815000000000026</v>
      </c>
      <c r="R51" s="149">
        <v>5.5199999999999999E-2</v>
      </c>
      <c r="S51" s="149">
        <v>0</v>
      </c>
      <c r="T51" s="149">
        <v>2.8E-3</v>
      </c>
      <c r="U51" s="149">
        <v>3.2000000000000002E-3</v>
      </c>
      <c r="V51" s="149">
        <v>0.82199999999999995</v>
      </c>
      <c r="W51" s="149">
        <v>5.8999999999999999E-3</v>
      </c>
      <c r="X51" s="149">
        <v>6.8040000000000003</v>
      </c>
      <c r="Y51" s="149">
        <v>7.5499999999999998E-2</v>
      </c>
      <c r="Z51" s="149">
        <v>1.052</v>
      </c>
      <c r="AA51" s="149">
        <v>3.294</v>
      </c>
      <c r="AB51" s="149">
        <v>1.9490000000000001</v>
      </c>
      <c r="AC51" s="149">
        <v>1.552</v>
      </c>
      <c r="AD51" s="145">
        <v>15.615600000000001</v>
      </c>
    </row>
    <row r="52" spans="1:30" ht="17" x14ac:dyDescent="0.2">
      <c r="A52" s="145" t="s">
        <v>441</v>
      </c>
      <c r="B52" s="146">
        <v>119.76122606421831</v>
      </c>
      <c r="C52" s="146">
        <v>-204.68013962170343</v>
      </c>
      <c r="D52" s="147">
        <v>0.47939999999999999</v>
      </c>
      <c r="E52" s="147">
        <v>0</v>
      </c>
      <c r="F52" s="147">
        <v>0</v>
      </c>
      <c r="G52" s="147">
        <v>3.2000000000000001E-2</v>
      </c>
      <c r="H52" s="145">
        <v>3.05</v>
      </c>
      <c r="I52" s="147">
        <v>7.5800000000000006E-2</v>
      </c>
      <c r="J52" s="145">
        <v>46.4</v>
      </c>
      <c r="K52" s="148">
        <v>0.38450000000000001</v>
      </c>
      <c r="L52" s="145">
        <v>8.66</v>
      </c>
      <c r="M52" s="145">
        <v>15.05</v>
      </c>
      <c r="N52" s="145">
        <v>11.32</v>
      </c>
      <c r="O52" s="145">
        <v>9.86</v>
      </c>
      <c r="P52" s="148">
        <v>95.311800000000005</v>
      </c>
      <c r="Q52" s="143">
        <f t="shared" si="2"/>
        <v>4.6881999999999948</v>
      </c>
      <c r="R52" s="149">
        <v>5.28E-2</v>
      </c>
      <c r="S52" s="149">
        <v>0</v>
      </c>
      <c r="T52" s="149">
        <v>0</v>
      </c>
      <c r="U52" s="149">
        <v>4.0000000000000001E-3</v>
      </c>
      <c r="V52" s="149">
        <v>0.86599999999999999</v>
      </c>
      <c r="W52" s="149">
        <v>8.8000000000000005E-3</v>
      </c>
      <c r="X52" s="149">
        <v>6.7930000000000001</v>
      </c>
      <c r="Y52" s="149">
        <v>7.1800000000000003E-2</v>
      </c>
      <c r="Z52" s="149">
        <v>1.0609999999999999</v>
      </c>
      <c r="AA52" s="149">
        <v>3.2850000000000001</v>
      </c>
      <c r="AB52" s="149">
        <v>1.9530000000000001</v>
      </c>
      <c r="AC52" s="149">
        <v>1.546</v>
      </c>
      <c r="AD52" s="145">
        <v>15.641400000000001</v>
      </c>
    </row>
    <row r="53" spans="1:30" ht="17" x14ac:dyDescent="0.2">
      <c r="A53" s="145" t="s">
        <v>442</v>
      </c>
      <c r="B53" s="146">
        <v>151.14593571716884</v>
      </c>
      <c r="C53" s="146">
        <v>-173.2954299687529</v>
      </c>
      <c r="D53" s="147">
        <v>0.45629999999999998</v>
      </c>
      <c r="E53" s="147">
        <v>0</v>
      </c>
      <c r="F53" s="147">
        <v>0</v>
      </c>
      <c r="G53" s="147">
        <v>4.9500000000000002E-2</v>
      </c>
      <c r="H53" s="145">
        <v>3.03</v>
      </c>
      <c r="I53" s="147">
        <v>3.39E-2</v>
      </c>
      <c r="J53" s="145">
        <v>47.08</v>
      </c>
      <c r="K53" s="148">
        <v>0.41199999999999998</v>
      </c>
      <c r="L53" s="145">
        <v>8.42</v>
      </c>
      <c r="M53" s="145">
        <v>15.49</v>
      </c>
      <c r="N53" s="145">
        <v>11.15</v>
      </c>
      <c r="O53" s="145">
        <v>9.92</v>
      </c>
      <c r="P53" s="148">
        <v>96.041799999999995</v>
      </c>
      <c r="Q53" s="143">
        <f t="shared" si="2"/>
        <v>3.958200000000005</v>
      </c>
      <c r="R53" s="149">
        <v>4.9799999999999997E-2</v>
      </c>
      <c r="S53" s="149">
        <v>0</v>
      </c>
      <c r="T53" s="149">
        <v>0</v>
      </c>
      <c r="U53" s="149">
        <v>6.1000000000000004E-3</v>
      </c>
      <c r="V53" s="149">
        <v>0.85099999999999998</v>
      </c>
      <c r="W53" s="149">
        <v>3.8999999999999998E-3</v>
      </c>
      <c r="X53" s="149">
        <v>6.827</v>
      </c>
      <c r="Y53" s="149">
        <v>7.6200000000000004E-2</v>
      </c>
      <c r="Z53" s="149">
        <v>1.022</v>
      </c>
      <c r="AA53" s="149">
        <v>3.3490000000000002</v>
      </c>
      <c r="AB53" s="149">
        <v>1.905</v>
      </c>
      <c r="AC53" s="149">
        <v>1.542</v>
      </c>
      <c r="AD53" s="145">
        <v>15.632</v>
      </c>
    </row>
    <row r="54" spans="1:30" ht="17" x14ac:dyDescent="0.2">
      <c r="A54" s="145" t="s">
        <v>443</v>
      </c>
      <c r="B54" s="146">
        <v>193.02671889991458</v>
      </c>
      <c r="C54" s="146">
        <v>-131.41464678600715</v>
      </c>
      <c r="D54" s="147">
        <v>0.45279999999999998</v>
      </c>
      <c r="E54" s="147">
        <v>0</v>
      </c>
      <c r="F54" s="147">
        <v>0</v>
      </c>
      <c r="G54" s="147">
        <v>3.7999999999999999E-2</v>
      </c>
      <c r="H54" s="145">
        <v>3.05</v>
      </c>
      <c r="I54" s="147">
        <v>0.1047</v>
      </c>
      <c r="J54" s="145">
        <v>48.24</v>
      </c>
      <c r="K54" s="148">
        <v>0.38</v>
      </c>
      <c r="L54" s="145">
        <v>8.4499999999999993</v>
      </c>
      <c r="M54" s="145">
        <v>15.47</v>
      </c>
      <c r="N54" s="145">
        <v>11.08</v>
      </c>
      <c r="O54" s="145">
        <v>9.9499999999999993</v>
      </c>
      <c r="P54" s="148">
        <v>97.215599999999995</v>
      </c>
      <c r="Q54" s="143">
        <f t="shared" si="2"/>
        <v>2.7844000000000051</v>
      </c>
      <c r="R54" s="149">
        <v>4.87E-2</v>
      </c>
      <c r="S54" s="149">
        <v>0</v>
      </c>
      <c r="T54" s="149">
        <v>0</v>
      </c>
      <c r="U54" s="149">
        <v>4.5999999999999999E-3</v>
      </c>
      <c r="V54" s="149">
        <v>0.84499999999999997</v>
      </c>
      <c r="W54" s="149">
        <v>1.18E-2</v>
      </c>
      <c r="X54" s="149">
        <v>6.8970000000000002</v>
      </c>
      <c r="Y54" s="149">
        <v>6.93E-2</v>
      </c>
      <c r="Z54" s="149">
        <v>1.01</v>
      </c>
      <c r="AA54" s="149">
        <v>3.2959999999999998</v>
      </c>
      <c r="AB54" s="149">
        <v>1.8660000000000001</v>
      </c>
      <c r="AC54" s="149">
        <v>1.524</v>
      </c>
      <c r="AD54" s="145">
        <v>15.5724</v>
      </c>
    </row>
    <row r="55" spans="1:30" ht="17" x14ac:dyDescent="0.2">
      <c r="A55" s="145" t="s">
        <v>444</v>
      </c>
      <c r="B55" s="146">
        <v>221.04457035215623</v>
      </c>
      <c r="C55" s="146">
        <v>-103.39679533376551</v>
      </c>
      <c r="D55" s="147">
        <v>0.44230000000000003</v>
      </c>
      <c r="E55" s="147">
        <v>0</v>
      </c>
      <c r="F55" s="147">
        <v>0</v>
      </c>
      <c r="G55" s="147">
        <v>6.6000000000000003E-2</v>
      </c>
      <c r="H55" s="145">
        <v>2.89</v>
      </c>
      <c r="I55" s="147">
        <v>7.2700000000000001E-2</v>
      </c>
      <c r="J55" s="145">
        <v>48.35</v>
      </c>
      <c r="K55" s="148">
        <v>0.37519999999999998</v>
      </c>
      <c r="L55" s="145">
        <v>8.44</v>
      </c>
      <c r="M55" s="145">
        <v>15.32</v>
      </c>
      <c r="N55" s="145">
        <v>11.06</v>
      </c>
      <c r="O55" s="145">
        <v>9.9499999999999993</v>
      </c>
      <c r="P55" s="148">
        <v>96.966300000000004</v>
      </c>
      <c r="Q55" s="143">
        <f t="shared" si="2"/>
        <v>3.0336999999999961</v>
      </c>
      <c r="R55" s="149">
        <v>4.7600000000000003E-2</v>
      </c>
      <c r="S55" s="149">
        <v>0</v>
      </c>
      <c r="T55" s="149">
        <v>0</v>
      </c>
      <c r="U55" s="149">
        <v>8.0000000000000002E-3</v>
      </c>
      <c r="V55" s="149">
        <v>0.80100000000000005</v>
      </c>
      <c r="W55" s="149">
        <v>8.2000000000000007E-3</v>
      </c>
      <c r="X55" s="149">
        <v>6.9219999999999997</v>
      </c>
      <c r="Y55" s="149">
        <v>6.8500000000000005E-2</v>
      </c>
      <c r="Z55" s="149">
        <v>1.0109999999999999</v>
      </c>
      <c r="AA55" s="149">
        <v>3.27</v>
      </c>
      <c r="AB55" s="149">
        <v>1.8660000000000001</v>
      </c>
      <c r="AC55" s="149">
        <v>1.5269999999999999</v>
      </c>
      <c r="AD55" s="145">
        <v>15.529299999999999</v>
      </c>
    </row>
    <row r="56" spans="1:30" ht="17" x14ac:dyDescent="0.2">
      <c r="A56" s="145" t="s">
        <v>445</v>
      </c>
      <c r="B56" s="146">
        <v>255.7576802675778</v>
      </c>
      <c r="C56" s="146">
        <v>-68.683685418343956</v>
      </c>
      <c r="D56" s="147">
        <v>0.45390000000000003</v>
      </c>
      <c r="E56" s="147">
        <v>0</v>
      </c>
      <c r="F56" s="147">
        <v>0</v>
      </c>
      <c r="G56" s="147">
        <v>3.5999999999999997E-2</v>
      </c>
      <c r="H56" s="145">
        <v>2.91</v>
      </c>
      <c r="I56" s="147">
        <v>8.3900000000000002E-2</v>
      </c>
      <c r="J56" s="145">
        <v>48.07</v>
      </c>
      <c r="K56" s="148">
        <v>0.39379999999999998</v>
      </c>
      <c r="L56" s="145">
        <v>8.5399999999999991</v>
      </c>
      <c r="M56" s="145">
        <v>15.05</v>
      </c>
      <c r="N56" s="145">
        <v>11.26</v>
      </c>
      <c r="O56" s="145">
        <v>10.029999999999999</v>
      </c>
      <c r="P56" s="148">
        <v>96.827699999999993</v>
      </c>
      <c r="Q56" s="143">
        <f t="shared" si="2"/>
        <v>3.172300000000007</v>
      </c>
      <c r="R56" s="149">
        <v>4.9000000000000002E-2</v>
      </c>
      <c r="S56" s="149">
        <v>0</v>
      </c>
      <c r="T56" s="149">
        <v>0</v>
      </c>
      <c r="U56" s="149">
        <v>4.4000000000000003E-3</v>
      </c>
      <c r="V56" s="149">
        <v>0.80900000000000005</v>
      </c>
      <c r="W56" s="149">
        <v>9.4999999999999998E-3</v>
      </c>
      <c r="X56" s="149">
        <v>6.899</v>
      </c>
      <c r="Y56" s="149">
        <v>7.2099999999999997E-2</v>
      </c>
      <c r="Z56" s="149">
        <v>1.0249999999999999</v>
      </c>
      <c r="AA56" s="149">
        <v>3.22</v>
      </c>
      <c r="AB56" s="149">
        <v>1.9039999999999999</v>
      </c>
      <c r="AC56" s="149">
        <v>1.5429999999999999</v>
      </c>
      <c r="AD56" s="145">
        <v>15.5351</v>
      </c>
    </row>
    <row r="57" spans="1:30" ht="17" x14ac:dyDescent="0.2">
      <c r="A57" s="145" t="s">
        <v>446</v>
      </c>
      <c r="B57" s="146">
        <v>289.7282557705002</v>
      </c>
      <c r="C57" s="146">
        <v>-34.713109915421562</v>
      </c>
      <c r="D57" s="147">
        <v>0.49370000000000003</v>
      </c>
      <c r="E57" s="147">
        <v>1.03E-2</v>
      </c>
      <c r="F57" s="147">
        <v>0</v>
      </c>
      <c r="G57" s="147">
        <v>5.2999999999999999E-2</v>
      </c>
      <c r="H57" s="145">
        <v>2.95</v>
      </c>
      <c r="I57" s="147">
        <v>0.12470000000000001</v>
      </c>
      <c r="J57" s="145">
        <v>47.97</v>
      </c>
      <c r="K57" s="148">
        <v>0.3659</v>
      </c>
      <c r="L57" s="145">
        <v>8.58</v>
      </c>
      <c r="M57" s="145">
        <v>15.09</v>
      </c>
      <c r="N57" s="145">
        <v>11.63</v>
      </c>
      <c r="O57" s="145">
        <v>10.039999999999999</v>
      </c>
      <c r="P57" s="148">
        <v>97.307699999999997</v>
      </c>
      <c r="Q57" s="143">
        <f t="shared" si="2"/>
        <v>2.692300000000003</v>
      </c>
      <c r="R57" s="149">
        <v>5.2999999999999999E-2</v>
      </c>
      <c r="S57" s="149">
        <v>4.5999999999999999E-3</v>
      </c>
      <c r="T57" s="149">
        <v>0</v>
      </c>
      <c r="U57" s="149">
        <v>6.4000000000000003E-3</v>
      </c>
      <c r="V57" s="149">
        <v>0.81699999999999995</v>
      </c>
      <c r="W57" s="149">
        <v>1.41E-2</v>
      </c>
      <c r="X57" s="149">
        <v>6.8550000000000004</v>
      </c>
      <c r="Y57" s="149">
        <v>6.6699999999999995E-2</v>
      </c>
      <c r="Z57" s="149">
        <v>1.026</v>
      </c>
      <c r="AA57" s="149">
        <v>3.2149999999999999</v>
      </c>
      <c r="AB57" s="149">
        <v>1.9590000000000001</v>
      </c>
      <c r="AC57" s="149">
        <v>1.5369999999999999</v>
      </c>
      <c r="AD57" s="145">
        <v>15.553800000000001</v>
      </c>
    </row>
    <row r="58" spans="1:30" ht="17" x14ac:dyDescent="0.2">
      <c r="A58" s="145" t="s">
        <v>447</v>
      </c>
      <c r="B58" s="146">
        <v>324.44136568592177</v>
      </c>
      <c r="C58" s="146">
        <v>0</v>
      </c>
      <c r="D58" s="147">
        <v>0.4123</v>
      </c>
      <c r="E58" s="147">
        <v>0</v>
      </c>
      <c r="F58" s="147">
        <v>0</v>
      </c>
      <c r="G58" s="147">
        <v>3.0499999999999999E-2</v>
      </c>
      <c r="H58" s="145">
        <v>2.73</v>
      </c>
      <c r="I58" s="147">
        <v>0.1188</v>
      </c>
      <c r="J58" s="145">
        <v>48.5</v>
      </c>
      <c r="K58" s="148">
        <v>0.33029999999999998</v>
      </c>
      <c r="L58" s="145">
        <v>8.58</v>
      </c>
      <c r="M58" s="145">
        <v>15.25</v>
      </c>
      <c r="N58" s="145">
        <v>10.73</v>
      </c>
      <c r="O58" s="145">
        <v>10.33</v>
      </c>
      <c r="P58" s="148">
        <v>97.012</v>
      </c>
      <c r="Q58" s="143">
        <f t="shared" si="2"/>
        <v>2.9879999999999995</v>
      </c>
      <c r="R58" s="149">
        <v>4.4400000000000002E-2</v>
      </c>
      <c r="S58" s="149">
        <v>0</v>
      </c>
      <c r="T58" s="149">
        <v>0</v>
      </c>
      <c r="U58" s="149">
        <v>3.7000000000000002E-3</v>
      </c>
      <c r="V58" s="149">
        <v>0.75800000000000001</v>
      </c>
      <c r="W58" s="149">
        <v>1.35E-2</v>
      </c>
      <c r="X58" s="149">
        <v>6.9459999999999997</v>
      </c>
      <c r="Y58" s="149">
        <v>6.0400000000000002E-2</v>
      </c>
      <c r="Z58" s="149">
        <v>1.0269999999999999</v>
      </c>
      <c r="AA58" s="149">
        <v>3.2549999999999999</v>
      </c>
      <c r="AB58" s="149">
        <v>1.8109999999999999</v>
      </c>
      <c r="AC58" s="149">
        <v>1.5860000000000001</v>
      </c>
      <c r="AD58" s="145">
        <v>15.505100000000001</v>
      </c>
    </row>
    <row r="59" spans="1:30" x14ac:dyDescent="0.2">
      <c r="A59" s="145"/>
      <c r="B59" s="146"/>
      <c r="C59" s="146"/>
      <c r="D59" s="147"/>
      <c r="E59" s="147"/>
      <c r="F59" s="147"/>
      <c r="G59" s="147"/>
      <c r="H59" s="148"/>
      <c r="I59" s="147"/>
      <c r="J59" s="148"/>
      <c r="K59" s="148"/>
      <c r="L59" s="148"/>
      <c r="M59" s="148"/>
      <c r="N59" s="148"/>
      <c r="O59" s="148"/>
      <c r="P59" s="148"/>
      <c r="Q59" s="143"/>
      <c r="R59" s="149"/>
      <c r="S59" s="149"/>
      <c r="T59" s="149"/>
      <c r="U59" s="149"/>
      <c r="V59" s="149"/>
      <c r="W59" s="149"/>
      <c r="X59" s="149"/>
      <c r="Y59" s="149"/>
      <c r="Z59" s="149"/>
      <c r="AA59" s="149"/>
      <c r="AB59" s="149"/>
      <c r="AC59" s="149"/>
      <c r="AD59" s="148"/>
    </row>
    <row r="60" spans="1:30" ht="17" x14ac:dyDescent="0.2">
      <c r="A60" s="145" t="s">
        <v>448</v>
      </c>
      <c r="B60" s="146">
        <v>0</v>
      </c>
      <c r="C60" s="146">
        <v>-224.32274870755748</v>
      </c>
      <c r="D60" s="147">
        <v>0.48899999999999999</v>
      </c>
      <c r="E60" s="147">
        <v>0</v>
      </c>
      <c r="F60" s="147">
        <v>0</v>
      </c>
      <c r="G60" s="147">
        <v>3.4500000000000003E-2</v>
      </c>
      <c r="H60" s="145">
        <v>2.72</v>
      </c>
      <c r="I60" s="147">
        <v>8.4500000000000006E-2</v>
      </c>
      <c r="J60" s="145">
        <v>47.49</v>
      </c>
      <c r="K60" s="148">
        <v>0.375</v>
      </c>
      <c r="L60" s="145">
        <v>8.6</v>
      </c>
      <c r="M60" s="145">
        <v>15.47</v>
      </c>
      <c r="N60" s="145">
        <v>11.38</v>
      </c>
      <c r="O60" s="145">
        <v>10.02</v>
      </c>
      <c r="P60" s="148">
        <v>96.662999999999997</v>
      </c>
      <c r="Q60" s="143">
        <f t="shared" si="2"/>
        <v>3.3370000000000033</v>
      </c>
      <c r="R60" s="149">
        <v>5.2900000000000003E-2</v>
      </c>
      <c r="S60" s="149">
        <v>0</v>
      </c>
      <c r="T60" s="149">
        <v>0</v>
      </c>
      <c r="U60" s="149">
        <v>4.1999999999999997E-3</v>
      </c>
      <c r="V60" s="149">
        <v>0.75900000000000001</v>
      </c>
      <c r="W60" s="149">
        <v>9.5999999999999992E-3</v>
      </c>
      <c r="X60" s="149">
        <v>6.8339999999999996</v>
      </c>
      <c r="Y60" s="149">
        <v>6.88E-2</v>
      </c>
      <c r="Z60" s="149">
        <v>1.0349999999999999</v>
      </c>
      <c r="AA60" s="149">
        <v>3.3180000000000001</v>
      </c>
      <c r="AB60" s="149">
        <v>1.931</v>
      </c>
      <c r="AC60" s="149">
        <v>1.544</v>
      </c>
      <c r="AD60" s="145">
        <v>15.5565</v>
      </c>
    </row>
    <row r="61" spans="1:30" ht="17" x14ac:dyDescent="0.2">
      <c r="A61" s="145" t="s">
        <v>449</v>
      </c>
      <c r="B61" s="146">
        <v>24.351591323772425</v>
      </c>
      <c r="C61" s="146">
        <v>-199.97115738378506</v>
      </c>
      <c r="D61" s="147">
        <v>0.52070000000000005</v>
      </c>
      <c r="E61" s="147">
        <v>0</v>
      </c>
      <c r="F61" s="147">
        <v>0</v>
      </c>
      <c r="G61" s="147">
        <v>2.75E-2</v>
      </c>
      <c r="H61" s="145">
        <v>2.91</v>
      </c>
      <c r="I61" s="147">
        <v>5.62E-2</v>
      </c>
      <c r="J61" s="145">
        <v>47.54</v>
      </c>
      <c r="K61" s="148">
        <v>0.375</v>
      </c>
      <c r="L61" s="145">
        <v>8.57</v>
      </c>
      <c r="M61" s="145">
        <v>15.3</v>
      </c>
      <c r="N61" s="145">
        <v>11.4</v>
      </c>
      <c r="O61" s="145">
        <v>10</v>
      </c>
      <c r="P61" s="148">
        <v>96.6995</v>
      </c>
      <c r="Q61" s="143">
        <f t="shared" si="2"/>
        <v>3.3004999999999995</v>
      </c>
      <c r="R61" s="149">
        <v>5.6300000000000003E-2</v>
      </c>
      <c r="S61" s="149">
        <v>0</v>
      </c>
      <c r="T61" s="149">
        <v>0</v>
      </c>
      <c r="U61" s="149">
        <v>3.3999999999999998E-3</v>
      </c>
      <c r="V61" s="149">
        <v>0.81200000000000006</v>
      </c>
      <c r="W61" s="149">
        <v>6.4000000000000003E-3</v>
      </c>
      <c r="X61" s="149">
        <v>6.8390000000000004</v>
      </c>
      <c r="Y61" s="149">
        <v>6.88E-2</v>
      </c>
      <c r="Z61" s="149">
        <v>1.032</v>
      </c>
      <c r="AA61" s="149">
        <v>3.28</v>
      </c>
      <c r="AB61" s="149">
        <v>1.9339999999999999</v>
      </c>
      <c r="AC61" s="149">
        <v>1.542</v>
      </c>
      <c r="AD61" s="145">
        <v>15.5739</v>
      </c>
    </row>
    <row r="62" spans="1:30" ht="17" x14ac:dyDescent="0.2">
      <c r="A62" s="145" t="s">
        <v>450</v>
      </c>
      <c r="B62" s="146">
        <v>49.983602559722662</v>
      </c>
      <c r="C62" s="146">
        <v>-174.33914614783481</v>
      </c>
      <c r="D62" s="147">
        <v>0.47249999999999998</v>
      </c>
      <c r="E62" s="147">
        <v>0</v>
      </c>
      <c r="F62" s="147">
        <v>0</v>
      </c>
      <c r="G62" s="147">
        <v>2.5999999999999999E-2</v>
      </c>
      <c r="H62" s="145">
        <v>2.89</v>
      </c>
      <c r="I62" s="147">
        <v>9.3899999999999997E-2</v>
      </c>
      <c r="J62" s="145">
        <v>47.69</v>
      </c>
      <c r="K62" s="148">
        <v>0.40799999999999997</v>
      </c>
      <c r="L62" s="145">
        <v>8.67</v>
      </c>
      <c r="M62" s="145">
        <v>15.32</v>
      </c>
      <c r="N62" s="145">
        <v>11.29</v>
      </c>
      <c r="O62" s="145">
        <v>10.029999999999999</v>
      </c>
      <c r="P62" s="148">
        <v>96.8904</v>
      </c>
      <c r="Q62" s="143">
        <f t="shared" si="2"/>
        <v>3.1096000000000004</v>
      </c>
      <c r="R62" s="149">
        <v>5.11E-2</v>
      </c>
      <c r="S62" s="149">
        <v>0</v>
      </c>
      <c r="T62" s="149">
        <v>0</v>
      </c>
      <c r="U62" s="149">
        <v>3.2000000000000002E-3</v>
      </c>
      <c r="V62" s="149">
        <v>0.80600000000000005</v>
      </c>
      <c r="W62" s="149">
        <v>1.0699999999999999E-2</v>
      </c>
      <c r="X62" s="149">
        <v>6.8529999999999998</v>
      </c>
      <c r="Y62" s="149">
        <v>7.4800000000000005E-2</v>
      </c>
      <c r="Z62" s="149">
        <v>1.042</v>
      </c>
      <c r="AA62" s="149">
        <v>3.2810000000000001</v>
      </c>
      <c r="AB62" s="149">
        <v>1.9119999999999999</v>
      </c>
      <c r="AC62" s="149">
        <v>1.544</v>
      </c>
      <c r="AD62" s="145">
        <v>15.5778</v>
      </c>
    </row>
    <row r="63" spans="1:30" ht="17" x14ac:dyDescent="0.2">
      <c r="A63" s="145" t="s">
        <v>451</v>
      </c>
      <c r="B63" s="146">
        <v>74.335193883496103</v>
      </c>
      <c r="C63" s="146">
        <v>-149.98755482406136</v>
      </c>
      <c r="D63" s="147">
        <v>0.46910000000000002</v>
      </c>
      <c r="E63" s="147">
        <v>3.49E-2</v>
      </c>
      <c r="F63" s="147">
        <v>0</v>
      </c>
      <c r="G63" s="147">
        <v>3.3500000000000002E-2</v>
      </c>
      <c r="H63" s="145">
        <v>2.76</v>
      </c>
      <c r="I63" s="147">
        <v>7.6200000000000004E-2</v>
      </c>
      <c r="J63" s="145">
        <v>47.6</v>
      </c>
      <c r="K63" s="148">
        <v>0.37309999999999999</v>
      </c>
      <c r="L63" s="145">
        <v>8.6300000000000008</v>
      </c>
      <c r="M63" s="145">
        <v>15.49</v>
      </c>
      <c r="N63" s="145">
        <v>11.1</v>
      </c>
      <c r="O63" s="145">
        <v>10.01</v>
      </c>
      <c r="P63" s="148">
        <v>96.576800000000006</v>
      </c>
      <c r="Q63" s="143">
        <f t="shared" si="2"/>
        <v>3.4231999999999942</v>
      </c>
      <c r="R63" s="149">
        <v>5.0799999999999998E-2</v>
      </c>
      <c r="S63" s="149">
        <v>1.5900000000000001E-2</v>
      </c>
      <c r="T63" s="149">
        <v>0</v>
      </c>
      <c r="U63" s="149">
        <v>4.1000000000000003E-3</v>
      </c>
      <c r="V63" s="149">
        <v>0.77200000000000002</v>
      </c>
      <c r="W63" s="149">
        <v>8.6999999999999994E-3</v>
      </c>
      <c r="X63" s="149">
        <v>6.86</v>
      </c>
      <c r="Y63" s="149">
        <v>6.8599999999999994E-2</v>
      </c>
      <c r="Z63" s="149">
        <v>1.04</v>
      </c>
      <c r="AA63" s="149">
        <v>3.3279999999999998</v>
      </c>
      <c r="AB63" s="149">
        <v>1.885</v>
      </c>
      <c r="AC63" s="149">
        <v>1.546</v>
      </c>
      <c r="AD63" s="145">
        <v>15.5792</v>
      </c>
    </row>
    <row r="64" spans="1:30" ht="17" x14ac:dyDescent="0.2">
      <c r="A64" s="145" t="s">
        <v>452</v>
      </c>
      <c r="B64" s="146">
        <v>99.967205119446334</v>
      </c>
      <c r="C64" s="146">
        <v>-124.35554358811112</v>
      </c>
      <c r="D64" s="147">
        <v>0.49</v>
      </c>
      <c r="E64" s="147">
        <v>1.03E-2</v>
      </c>
      <c r="F64" s="147">
        <v>0</v>
      </c>
      <c r="G64" s="147">
        <v>5.0500000000000003E-2</v>
      </c>
      <c r="H64" s="145">
        <v>2.88</v>
      </c>
      <c r="I64" s="147">
        <v>8.3799999999999999E-2</v>
      </c>
      <c r="J64" s="145">
        <v>47.34</v>
      </c>
      <c r="K64" s="148">
        <v>0.3997</v>
      </c>
      <c r="L64" s="145">
        <v>8.73</v>
      </c>
      <c r="M64" s="145">
        <v>15.22</v>
      </c>
      <c r="N64" s="145">
        <v>11.5</v>
      </c>
      <c r="O64" s="145">
        <v>10.039999999999999</v>
      </c>
      <c r="P64" s="148">
        <v>96.744299999999996</v>
      </c>
      <c r="Q64" s="143">
        <f t="shared" si="2"/>
        <v>3.2557000000000045</v>
      </c>
      <c r="R64" s="149">
        <v>5.3100000000000001E-2</v>
      </c>
      <c r="S64" s="149">
        <v>4.7000000000000002E-3</v>
      </c>
      <c r="T64" s="149">
        <v>0</v>
      </c>
      <c r="U64" s="149">
        <v>6.1999999999999998E-3</v>
      </c>
      <c r="V64" s="149">
        <v>0.80500000000000005</v>
      </c>
      <c r="W64" s="149">
        <v>9.4999999999999998E-3</v>
      </c>
      <c r="X64" s="149">
        <v>6.8179999999999996</v>
      </c>
      <c r="Y64" s="149">
        <v>7.3400000000000007E-2</v>
      </c>
      <c r="Z64" s="149">
        <v>1.0509999999999999</v>
      </c>
      <c r="AA64" s="149">
        <v>3.2679999999999998</v>
      </c>
      <c r="AB64" s="149">
        <v>1.9530000000000001</v>
      </c>
      <c r="AC64" s="149">
        <v>1.5489999999999999</v>
      </c>
      <c r="AD64" s="145">
        <v>15.5909</v>
      </c>
    </row>
    <row r="65" spans="1:33" ht="17" x14ac:dyDescent="0.2">
      <c r="A65" s="145" t="s">
        <v>453</v>
      </c>
      <c r="B65" s="146">
        <v>124.31879644321876</v>
      </c>
      <c r="C65" s="146">
        <v>-100.00395226433869</v>
      </c>
      <c r="D65" s="147">
        <v>0.49730000000000002</v>
      </c>
      <c r="E65" s="147">
        <v>0.1905</v>
      </c>
      <c r="F65" s="147">
        <v>1.09E-2</v>
      </c>
      <c r="G65" s="147">
        <v>7.0000000000000001E-3</v>
      </c>
      <c r="H65" s="145">
        <v>2.93</v>
      </c>
      <c r="I65" s="147">
        <v>3.1E-2</v>
      </c>
      <c r="J65" s="145">
        <v>48.08</v>
      </c>
      <c r="K65" s="148">
        <v>0.41260000000000002</v>
      </c>
      <c r="L65" s="145">
        <v>8.7100000000000009</v>
      </c>
      <c r="M65" s="145">
        <v>15.36</v>
      </c>
      <c r="N65" s="145">
        <v>11.43</v>
      </c>
      <c r="O65" s="145">
        <v>10.06</v>
      </c>
      <c r="P65" s="148">
        <v>97.719399999999993</v>
      </c>
      <c r="Q65" s="143">
        <f t="shared" si="2"/>
        <v>2.2806000000000068</v>
      </c>
      <c r="R65" s="149">
        <v>5.3400000000000003E-2</v>
      </c>
      <c r="S65" s="149">
        <v>8.5999999999999993E-2</v>
      </c>
      <c r="T65" s="149">
        <v>2.5999999999999999E-3</v>
      </c>
      <c r="U65" s="149">
        <v>8.0000000000000004E-4</v>
      </c>
      <c r="V65" s="149">
        <v>0.81100000000000005</v>
      </c>
      <c r="W65" s="149">
        <v>3.5000000000000001E-3</v>
      </c>
      <c r="X65" s="149">
        <v>6.859</v>
      </c>
      <c r="Y65" s="149">
        <v>7.51E-2</v>
      </c>
      <c r="Z65" s="149">
        <v>1.0389999999999999</v>
      </c>
      <c r="AA65" s="149">
        <v>3.266</v>
      </c>
      <c r="AB65" s="149">
        <v>1.9219999999999999</v>
      </c>
      <c r="AC65" s="149">
        <v>1.538</v>
      </c>
      <c r="AD65" s="145">
        <v>15.656499999999999</v>
      </c>
    </row>
    <row r="66" spans="1:33" ht="17" x14ac:dyDescent="0.2">
      <c r="A66" s="145" t="s">
        <v>454</v>
      </c>
      <c r="B66" s="146">
        <v>149.01697451367554</v>
      </c>
      <c r="C66" s="146">
        <v>-75.305774193881916</v>
      </c>
      <c r="D66" s="147">
        <v>0.51200000000000001</v>
      </c>
      <c r="E66" s="147">
        <v>4.3099999999999999E-2</v>
      </c>
      <c r="F66" s="147">
        <v>1.3899999999999999E-2</v>
      </c>
      <c r="G66" s="147">
        <v>4.0000000000000001E-3</v>
      </c>
      <c r="H66" s="145">
        <v>2.84</v>
      </c>
      <c r="I66" s="147">
        <v>7.4700000000000003E-2</v>
      </c>
      <c r="J66" s="145">
        <v>48.13</v>
      </c>
      <c r="K66" s="148">
        <v>0.41299999999999998</v>
      </c>
      <c r="L66" s="145">
        <v>8.57</v>
      </c>
      <c r="M66" s="145">
        <v>15.18</v>
      </c>
      <c r="N66" s="145">
        <v>11.47</v>
      </c>
      <c r="O66" s="145">
        <v>10</v>
      </c>
      <c r="P66" s="148">
        <v>97.250799999999998</v>
      </c>
      <c r="Q66" s="143">
        <f t="shared" si="2"/>
        <v>2.7492000000000019</v>
      </c>
      <c r="R66" s="149">
        <v>5.5E-2</v>
      </c>
      <c r="S66" s="149">
        <v>1.95E-2</v>
      </c>
      <c r="T66" s="149">
        <v>3.3999999999999998E-3</v>
      </c>
      <c r="U66" s="149">
        <v>5.0000000000000001E-4</v>
      </c>
      <c r="V66" s="149">
        <v>0.78600000000000003</v>
      </c>
      <c r="W66" s="149">
        <v>8.3999999999999995E-3</v>
      </c>
      <c r="X66" s="149">
        <v>6.8789999999999996</v>
      </c>
      <c r="Y66" s="149">
        <v>7.5300000000000006E-2</v>
      </c>
      <c r="Z66" s="149">
        <v>1.024</v>
      </c>
      <c r="AA66" s="149">
        <v>3.234</v>
      </c>
      <c r="AB66" s="149">
        <v>1.9330000000000001</v>
      </c>
      <c r="AC66" s="149">
        <v>1.5309999999999999</v>
      </c>
      <c r="AD66" s="145">
        <v>15.549099999999999</v>
      </c>
    </row>
    <row r="67" spans="1:33" ht="17" x14ac:dyDescent="0.2">
      <c r="A67" s="145" t="s">
        <v>455</v>
      </c>
      <c r="B67" s="146">
        <v>174.31519579502427</v>
      </c>
      <c r="C67" s="146">
        <v>-50.007552912533178</v>
      </c>
      <c r="D67" s="147">
        <v>0.51429999999999998</v>
      </c>
      <c r="E67" s="147">
        <v>3.9E-2</v>
      </c>
      <c r="F67" s="147">
        <v>1.3899999999999999E-2</v>
      </c>
      <c r="G67" s="147">
        <v>1.7000000000000001E-2</v>
      </c>
      <c r="H67" s="145">
        <v>2.9</v>
      </c>
      <c r="I67" s="147">
        <v>3.5200000000000002E-2</v>
      </c>
      <c r="J67" s="145">
        <v>47.83</v>
      </c>
      <c r="K67" s="148">
        <v>0.39279999999999998</v>
      </c>
      <c r="L67" s="145">
        <v>8.66</v>
      </c>
      <c r="M67" s="145">
        <v>15.33</v>
      </c>
      <c r="N67" s="145">
        <v>11.52</v>
      </c>
      <c r="O67" s="145">
        <v>10.09</v>
      </c>
      <c r="P67" s="148">
        <v>97.342299999999994</v>
      </c>
      <c r="Q67" s="143">
        <f t="shared" si="2"/>
        <v>2.6577000000000055</v>
      </c>
      <c r="R67" s="149">
        <v>5.5300000000000002E-2</v>
      </c>
      <c r="S67" s="149">
        <v>1.7600000000000001E-2</v>
      </c>
      <c r="T67" s="149">
        <v>3.3999999999999998E-3</v>
      </c>
      <c r="U67" s="149">
        <v>2.0999999999999999E-3</v>
      </c>
      <c r="V67" s="149">
        <v>0.80500000000000005</v>
      </c>
      <c r="W67" s="149">
        <v>4.0000000000000001E-3</v>
      </c>
      <c r="X67" s="149">
        <v>6.84</v>
      </c>
      <c r="Y67" s="149">
        <v>7.17E-2</v>
      </c>
      <c r="Z67" s="149">
        <v>1.036</v>
      </c>
      <c r="AA67" s="149">
        <v>3.2679999999999998</v>
      </c>
      <c r="AB67" s="149">
        <v>1.9419999999999999</v>
      </c>
      <c r="AC67" s="149">
        <v>1.546</v>
      </c>
      <c r="AD67" s="145">
        <v>15.591200000000001</v>
      </c>
    </row>
    <row r="68" spans="1:33" ht="17" x14ac:dyDescent="0.2">
      <c r="A68" s="145" t="s">
        <v>456</v>
      </c>
      <c r="B68" s="146">
        <v>192.6999721058732</v>
      </c>
      <c r="C68" s="146">
        <v>-31.622776601684244</v>
      </c>
      <c r="D68" s="147">
        <v>0.50680000000000003</v>
      </c>
      <c r="E68" s="147">
        <v>0.1439</v>
      </c>
      <c r="F68" s="147">
        <v>7.7000000000000002E-3</v>
      </c>
      <c r="G68" s="147">
        <v>1.7999999999999999E-2</v>
      </c>
      <c r="H68" s="145">
        <v>2.76</v>
      </c>
      <c r="I68" s="147">
        <v>5.2900000000000003E-2</v>
      </c>
      <c r="J68" s="145">
        <v>48.51</v>
      </c>
      <c r="K68" s="148">
        <v>0.39900000000000002</v>
      </c>
      <c r="L68" s="145">
        <v>8.5500000000000007</v>
      </c>
      <c r="M68" s="145">
        <v>14.92</v>
      </c>
      <c r="N68" s="145">
        <v>11.65</v>
      </c>
      <c r="O68" s="145">
        <v>10.050000000000001</v>
      </c>
      <c r="P68" s="148">
        <v>97.568399999999997</v>
      </c>
      <c r="Q68" s="143">
        <f t="shared" si="2"/>
        <v>2.4316000000000031</v>
      </c>
      <c r="R68" s="149">
        <v>5.4300000000000001E-2</v>
      </c>
      <c r="S68" s="149">
        <v>6.4799999999999996E-2</v>
      </c>
      <c r="T68" s="149">
        <v>1.8E-3</v>
      </c>
      <c r="U68" s="149">
        <v>2.2000000000000001E-3</v>
      </c>
      <c r="V68" s="149">
        <v>0.76200000000000001</v>
      </c>
      <c r="W68" s="149">
        <v>6.0000000000000001E-3</v>
      </c>
      <c r="X68" s="149">
        <v>6.9059999999999997</v>
      </c>
      <c r="Y68" s="149">
        <v>7.2499999999999995E-2</v>
      </c>
      <c r="Z68" s="149">
        <v>1.018</v>
      </c>
      <c r="AA68" s="149">
        <v>3.1659999999999999</v>
      </c>
      <c r="AB68" s="149">
        <v>1.9550000000000001</v>
      </c>
      <c r="AC68" s="149">
        <v>1.534</v>
      </c>
      <c r="AD68" s="145">
        <v>15.5427</v>
      </c>
    </row>
    <row r="69" spans="1:33" ht="17" x14ac:dyDescent="0.2">
      <c r="A69" s="145" t="s">
        <v>457</v>
      </c>
      <c r="B69" s="146">
        <v>224.32274870755745</v>
      </c>
      <c r="C69" s="146">
        <v>0</v>
      </c>
      <c r="D69" s="147">
        <v>0.39279999999999998</v>
      </c>
      <c r="E69" s="147">
        <v>0.10489999999999999</v>
      </c>
      <c r="F69" s="147">
        <v>7.1000000000000004E-3</v>
      </c>
      <c r="G69" s="147">
        <v>2.7E-2</v>
      </c>
      <c r="H69" s="145">
        <v>2.79</v>
      </c>
      <c r="I69" s="147">
        <v>4.0500000000000001E-2</v>
      </c>
      <c r="J69" s="145">
        <v>48.69</v>
      </c>
      <c r="K69" s="148">
        <v>0.33889999999999998</v>
      </c>
      <c r="L69" s="145">
        <v>8.11</v>
      </c>
      <c r="M69" s="145">
        <v>15.72</v>
      </c>
      <c r="N69" s="145">
        <v>10.63</v>
      </c>
      <c r="O69" s="145">
        <v>10.11</v>
      </c>
      <c r="P69" s="148">
        <v>96.961299999999994</v>
      </c>
      <c r="Q69" s="143">
        <f t="shared" si="2"/>
        <v>3.0387000000000057</v>
      </c>
      <c r="R69" s="149">
        <v>4.2200000000000001E-2</v>
      </c>
      <c r="S69" s="149">
        <v>4.7500000000000001E-2</v>
      </c>
      <c r="T69" s="149">
        <v>1.6999999999999999E-3</v>
      </c>
      <c r="U69" s="149">
        <v>3.3E-3</v>
      </c>
      <c r="V69" s="149">
        <v>0.77300000000000002</v>
      </c>
      <c r="W69" s="149">
        <v>4.5999999999999999E-3</v>
      </c>
      <c r="X69" s="149">
        <v>6.9640000000000004</v>
      </c>
      <c r="Y69" s="149">
        <v>6.1800000000000001E-2</v>
      </c>
      <c r="Z69" s="149">
        <v>0.97</v>
      </c>
      <c r="AA69" s="149">
        <v>3.3519999999999999</v>
      </c>
      <c r="AB69" s="149">
        <v>1.792</v>
      </c>
      <c r="AC69" s="149">
        <v>1.5489999999999999</v>
      </c>
      <c r="AD69" s="145">
        <v>15.5611</v>
      </c>
    </row>
    <row r="70" spans="1:33" x14ac:dyDescent="0.2">
      <c r="A70" s="145"/>
      <c r="B70" s="146"/>
      <c r="C70" s="146"/>
      <c r="D70" s="147"/>
      <c r="E70" s="147"/>
      <c r="F70" s="147"/>
      <c r="G70" s="147"/>
      <c r="H70" s="148"/>
      <c r="I70" s="147"/>
      <c r="J70" s="148"/>
      <c r="K70" s="148"/>
      <c r="L70" s="148"/>
      <c r="M70" s="148"/>
      <c r="N70" s="148"/>
      <c r="O70" s="148"/>
      <c r="P70" s="148"/>
      <c r="Q70" s="143"/>
      <c r="R70" s="149"/>
      <c r="S70" s="149"/>
      <c r="T70" s="149"/>
      <c r="U70" s="149"/>
      <c r="V70" s="149"/>
      <c r="W70" s="149"/>
      <c r="X70" s="149"/>
      <c r="Y70" s="149"/>
      <c r="Z70" s="149"/>
      <c r="AA70" s="149"/>
      <c r="AB70" s="149"/>
      <c r="AC70" s="149"/>
      <c r="AD70" s="148"/>
    </row>
    <row r="71" spans="1:33" ht="68" x14ac:dyDescent="0.2">
      <c r="A71" s="145" t="s">
        <v>244</v>
      </c>
      <c r="B71" s="146"/>
      <c r="C71" s="146"/>
      <c r="D71" s="147">
        <f>AVERAGE(D60:D69,D49:D58)</f>
        <v>0.47850500000000007</v>
      </c>
      <c r="E71" s="147">
        <f t="shared" ref="E71:AD71" si="5">AVERAGE(E60:E69,E49:E58)</f>
        <v>2.963E-2</v>
      </c>
      <c r="F71" s="147">
        <f t="shared" si="5"/>
        <v>4.1900000000000001E-3</v>
      </c>
      <c r="G71" s="147">
        <f t="shared" si="5"/>
        <v>3.2575000000000007E-2</v>
      </c>
      <c r="H71" s="148">
        <f t="shared" si="5"/>
        <v>2.8969999999999994</v>
      </c>
      <c r="I71" s="147">
        <f t="shared" si="5"/>
        <v>6.9820000000000007E-2</v>
      </c>
      <c r="J71" s="148">
        <f t="shared" si="5"/>
        <v>47.684000000000005</v>
      </c>
      <c r="K71" s="148">
        <f t="shared" si="5"/>
        <v>0.38667499999999999</v>
      </c>
      <c r="L71" s="148">
        <f t="shared" si="5"/>
        <v>8.5664999999999996</v>
      </c>
      <c r="M71" s="148">
        <f t="shared" si="5"/>
        <v>15.262</v>
      </c>
      <c r="N71" s="148">
        <f t="shared" si="5"/>
        <v>11.294</v>
      </c>
      <c r="O71" s="148">
        <f t="shared" si="5"/>
        <v>10.015499999999998</v>
      </c>
      <c r="P71" s="148">
        <f t="shared" si="5"/>
        <v>96.720475000000008</v>
      </c>
      <c r="Q71" s="148">
        <f t="shared" si="5"/>
        <v>3.2795250000000018</v>
      </c>
      <c r="R71" s="149">
        <f t="shared" si="5"/>
        <v>5.1780000000000007E-2</v>
      </c>
      <c r="S71" s="149">
        <f t="shared" si="5"/>
        <v>1.3389999999999999E-2</v>
      </c>
      <c r="T71" s="149">
        <f t="shared" si="5"/>
        <v>1.0200000000000001E-3</v>
      </c>
      <c r="U71" s="149">
        <f t="shared" si="5"/>
        <v>3.9850000000000007E-3</v>
      </c>
      <c r="V71" s="149">
        <f t="shared" si="5"/>
        <v>0.80809999999999993</v>
      </c>
      <c r="W71" s="149">
        <f t="shared" si="5"/>
        <v>7.9350000000000011E-3</v>
      </c>
      <c r="X71" s="149">
        <f t="shared" si="5"/>
        <v>6.8599500000000004</v>
      </c>
      <c r="Y71" s="149">
        <f t="shared" si="5"/>
        <v>7.0980000000000015E-2</v>
      </c>
      <c r="Z71" s="149">
        <f t="shared" si="5"/>
        <v>1.03085</v>
      </c>
      <c r="AA71" s="149">
        <f t="shared" si="5"/>
        <v>3.27325</v>
      </c>
      <c r="AB71" s="149">
        <f t="shared" si="5"/>
        <v>1.9153000000000002</v>
      </c>
      <c r="AC71" s="149">
        <f t="shared" si="5"/>
        <v>1.5440499999999999</v>
      </c>
      <c r="AD71" s="148">
        <f t="shared" si="5"/>
        <v>15.580625000000003</v>
      </c>
      <c r="AE71" s="137" t="s">
        <v>607</v>
      </c>
      <c r="AF71" s="137" t="s">
        <v>608</v>
      </c>
      <c r="AG71" s="137" t="s">
        <v>609</v>
      </c>
    </row>
    <row r="72" spans="1:33" x14ac:dyDescent="0.2">
      <c r="A72" s="145"/>
      <c r="B72" s="146"/>
      <c r="C72" s="146"/>
      <c r="D72" s="147"/>
      <c r="E72" s="147"/>
      <c r="F72" s="147"/>
      <c r="G72" s="147"/>
      <c r="H72" s="148"/>
      <c r="I72" s="147"/>
      <c r="J72" s="148"/>
      <c r="K72" s="148"/>
      <c r="L72" s="148"/>
      <c r="M72" s="148"/>
      <c r="N72" s="148"/>
      <c r="O72" s="148"/>
      <c r="P72" s="148"/>
      <c r="Q72" s="143"/>
      <c r="R72" s="149"/>
      <c r="S72" s="149"/>
      <c r="T72" s="149"/>
      <c r="U72" s="149"/>
      <c r="V72" s="149"/>
      <c r="W72" s="149"/>
      <c r="X72" s="149"/>
      <c r="Y72" s="149"/>
      <c r="Z72" s="149"/>
      <c r="AA72" s="149"/>
      <c r="AB72" s="149"/>
      <c r="AC72" s="149"/>
      <c r="AD72" s="148"/>
    </row>
    <row r="73" spans="1:33" ht="17" x14ac:dyDescent="0.2">
      <c r="A73" s="145" t="s">
        <v>458</v>
      </c>
      <c r="B73" s="146">
        <v>0</v>
      </c>
      <c r="C73" s="146">
        <v>-436.03667678974819</v>
      </c>
      <c r="D73" s="147">
        <v>0.46800000000000003</v>
      </c>
      <c r="E73" s="147">
        <v>3.8600000000000002E-2</v>
      </c>
      <c r="F73" s="147">
        <v>7.1000000000000004E-3</v>
      </c>
      <c r="G73" s="147">
        <v>5.3400000000000003E-2</v>
      </c>
      <c r="H73" s="145">
        <v>3.35</v>
      </c>
      <c r="I73" s="147">
        <v>5.0200000000000002E-2</v>
      </c>
      <c r="J73" s="145">
        <v>47.63</v>
      </c>
      <c r="K73" s="148">
        <v>0.35720000000000002</v>
      </c>
      <c r="L73" s="145">
        <v>10.15</v>
      </c>
      <c r="M73" s="145">
        <v>13.55</v>
      </c>
      <c r="N73" s="145">
        <v>12.11</v>
      </c>
      <c r="O73" s="145">
        <v>9.7200000000000006</v>
      </c>
      <c r="P73" s="148">
        <v>97.4846</v>
      </c>
      <c r="Q73" s="143">
        <f t="shared" si="2"/>
        <v>2.5153999999999996</v>
      </c>
      <c r="R73" s="149">
        <v>5.0599999999999999E-2</v>
      </c>
      <c r="S73" s="149">
        <v>1.7600000000000001E-2</v>
      </c>
      <c r="T73" s="149">
        <v>1.6999999999999999E-3</v>
      </c>
      <c r="U73" s="149">
        <v>6.4999999999999997E-3</v>
      </c>
      <c r="V73" s="149">
        <v>0.93300000000000005</v>
      </c>
      <c r="W73" s="149">
        <v>5.7000000000000002E-3</v>
      </c>
      <c r="X73" s="149">
        <v>6.8440000000000003</v>
      </c>
      <c r="Y73" s="149">
        <v>6.5500000000000003E-2</v>
      </c>
      <c r="Z73" s="149">
        <v>1.2190000000000001</v>
      </c>
      <c r="AA73" s="149">
        <v>2.903</v>
      </c>
      <c r="AB73" s="149">
        <v>2.052</v>
      </c>
      <c r="AC73" s="149">
        <v>1.496</v>
      </c>
      <c r="AD73" s="145">
        <v>15.5946</v>
      </c>
    </row>
    <row r="74" spans="1:33" ht="17" x14ac:dyDescent="0.2">
      <c r="A74" s="145" t="s">
        <v>459</v>
      </c>
      <c r="B74" s="146">
        <v>108.97706180659965</v>
      </c>
      <c r="C74" s="146">
        <v>-327.05961498314855</v>
      </c>
      <c r="D74" s="147">
        <v>0.45519999999999999</v>
      </c>
      <c r="E74" s="147">
        <v>2.24E-2</v>
      </c>
      <c r="F74" s="147">
        <v>4.1000000000000003E-3</v>
      </c>
      <c r="G74" s="147">
        <v>2.4E-2</v>
      </c>
      <c r="H74" s="145">
        <v>3.09</v>
      </c>
      <c r="I74" s="147">
        <v>6.5500000000000003E-2</v>
      </c>
      <c r="J74" s="145">
        <v>47.06</v>
      </c>
      <c r="K74" s="148">
        <v>0.32469999999999999</v>
      </c>
      <c r="L74" s="145">
        <v>10.19</v>
      </c>
      <c r="M74" s="145">
        <v>13.61</v>
      </c>
      <c r="N74" s="145">
        <v>11.86</v>
      </c>
      <c r="O74" s="145">
        <v>9.8800000000000008</v>
      </c>
      <c r="P74" s="148">
        <v>96.585999999999999</v>
      </c>
      <c r="Q74" s="143">
        <f t="shared" si="2"/>
        <v>3.4140000000000015</v>
      </c>
      <c r="R74" s="149">
        <v>4.9700000000000001E-2</v>
      </c>
      <c r="S74" s="149">
        <v>1.03E-2</v>
      </c>
      <c r="T74" s="149">
        <v>1E-3</v>
      </c>
      <c r="U74" s="149">
        <v>2.8999999999999998E-3</v>
      </c>
      <c r="V74" s="149">
        <v>0.87</v>
      </c>
      <c r="W74" s="149">
        <v>7.4999999999999997E-3</v>
      </c>
      <c r="X74" s="149">
        <v>6.83</v>
      </c>
      <c r="Y74" s="149">
        <v>6.0100000000000001E-2</v>
      </c>
      <c r="Z74" s="149">
        <v>1.2370000000000001</v>
      </c>
      <c r="AA74" s="149">
        <v>2.944</v>
      </c>
      <c r="AB74" s="149">
        <v>2.0299999999999998</v>
      </c>
      <c r="AC74" s="149">
        <v>1.536</v>
      </c>
      <c r="AD74" s="145">
        <v>15.5786</v>
      </c>
    </row>
    <row r="75" spans="1:33" ht="17" x14ac:dyDescent="0.2">
      <c r="A75" s="145" t="s">
        <v>460</v>
      </c>
      <c r="B75" s="146">
        <v>218.01833839486926</v>
      </c>
      <c r="C75" s="146">
        <v>-218.01833839487892</v>
      </c>
      <c r="D75" s="147">
        <v>0.43940000000000001</v>
      </c>
      <c r="E75" s="147">
        <v>1.0200000000000001E-2</v>
      </c>
      <c r="F75" s="147">
        <v>6.4999999999999997E-3</v>
      </c>
      <c r="G75" s="147">
        <v>0</v>
      </c>
      <c r="H75" s="145">
        <v>3.31</v>
      </c>
      <c r="I75" s="147">
        <v>3.0300000000000001E-2</v>
      </c>
      <c r="J75" s="145">
        <v>47.4</v>
      </c>
      <c r="K75" s="148">
        <v>0.33810000000000001</v>
      </c>
      <c r="L75" s="145">
        <v>10.199999999999999</v>
      </c>
      <c r="M75" s="145">
        <v>13.73</v>
      </c>
      <c r="N75" s="145">
        <v>12.22</v>
      </c>
      <c r="O75" s="145">
        <v>9.8800000000000008</v>
      </c>
      <c r="P75" s="148">
        <v>97.564599999999999</v>
      </c>
      <c r="Q75" s="143">
        <f t="shared" si="2"/>
        <v>2.4354000000000013</v>
      </c>
      <c r="R75" s="149">
        <v>4.7500000000000001E-2</v>
      </c>
      <c r="S75" s="149">
        <v>4.5999999999999999E-3</v>
      </c>
      <c r="T75" s="149">
        <v>1.6000000000000001E-3</v>
      </c>
      <c r="U75" s="149">
        <v>0</v>
      </c>
      <c r="V75" s="149">
        <v>0.92300000000000004</v>
      </c>
      <c r="W75" s="149">
        <v>3.3999999999999998E-3</v>
      </c>
      <c r="X75" s="149">
        <v>6.8090000000000002</v>
      </c>
      <c r="Y75" s="149">
        <v>6.2E-2</v>
      </c>
      <c r="Z75" s="149">
        <v>1.2250000000000001</v>
      </c>
      <c r="AA75" s="149">
        <v>2.94</v>
      </c>
      <c r="AB75" s="149">
        <v>2.0699999999999998</v>
      </c>
      <c r="AC75" s="149">
        <v>1.52</v>
      </c>
      <c r="AD75" s="145">
        <v>15.6061</v>
      </c>
    </row>
    <row r="76" spans="1:33" ht="17" x14ac:dyDescent="0.2">
      <c r="A76" s="145" t="s">
        <v>461</v>
      </c>
      <c r="B76" s="146">
        <v>326.99540020147856</v>
      </c>
      <c r="C76" s="146">
        <v>-109.04127658826962</v>
      </c>
      <c r="D76" s="147">
        <v>0.46339999999999998</v>
      </c>
      <c r="E76" s="147">
        <v>1.6299999999999999E-2</v>
      </c>
      <c r="F76" s="147">
        <v>4.7000000000000002E-3</v>
      </c>
      <c r="G76" s="147">
        <v>1.5E-3</v>
      </c>
      <c r="H76" s="145">
        <v>3.09</v>
      </c>
      <c r="I76" s="147">
        <v>3.85E-2</v>
      </c>
      <c r="J76" s="145">
        <v>47.34</v>
      </c>
      <c r="K76" s="148">
        <v>0.34439999999999998</v>
      </c>
      <c r="L76" s="145">
        <v>10.24</v>
      </c>
      <c r="M76" s="145">
        <v>13.55</v>
      </c>
      <c r="N76" s="145">
        <v>11.98</v>
      </c>
      <c r="O76" s="145">
        <v>9.89</v>
      </c>
      <c r="P76" s="148">
        <v>96.958799999999997</v>
      </c>
      <c r="Q76" s="143">
        <f t="shared" si="2"/>
        <v>3.0412000000000035</v>
      </c>
      <c r="R76" s="149">
        <v>5.0299999999999997E-2</v>
      </c>
      <c r="S76" s="149">
        <v>7.4000000000000003E-3</v>
      </c>
      <c r="T76" s="149">
        <v>1.1999999999999999E-3</v>
      </c>
      <c r="U76" s="149">
        <v>2.0000000000000001E-4</v>
      </c>
      <c r="V76" s="149">
        <v>0.86599999999999999</v>
      </c>
      <c r="W76" s="149">
        <v>4.4000000000000003E-3</v>
      </c>
      <c r="X76" s="149">
        <v>6.84</v>
      </c>
      <c r="Y76" s="149">
        <v>6.3500000000000001E-2</v>
      </c>
      <c r="Z76" s="149">
        <v>1.238</v>
      </c>
      <c r="AA76" s="149">
        <v>2.9180000000000001</v>
      </c>
      <c r="AB76" s="149">
        <v>2.0409999999999999</v>
      </c>
      <c r="AC76" s="149">
        <v>1.5309999999999999</v>
      </c>
      <c r="AD76" s="145">
        <v>15.561</v>
      </c>
    </row>
    <row r="77" spans="1:33" ht="17" x14ac:dyDescent="0.2">
      <c r="A77" s="145" t="s">
        <v>462</v>
      </c>
      <c r="B77" s="146">
        <v>436.03667678974819</v>
      </c>
      <c r="C77" s="146">
        <v>0</v>
      </c>
      <c r="D77" s="147">
        <v>0.4385</v>
      </c>
      <c r="E77" s="147">
        <v>6.9199999999999998E-2</v>
      </c>
      <c r="F77" s="147">
        <v>7.1000000000000004E-3</v>
      </c>
      <c r="G77" s="147">
        <v>3.1899999999999998E-2</v>
      </c>
      <c r="H77" s="145">
        <v>3.15</v>
      </c>
      <c r="I77" s="147">
        <v>8.1299999999999997E-2</v>
      </c>
      <c r="J77" s="145">
        <v>47.39</v>
      </c>
      <c r="K77" s="148">
        <v>0.32990000000000003</v>
      </c>
      <c r="L77" s="145">
        <v>10.07</v>
      </c>
      <c r="M77" s="145">
        <v>13.5</v>
      </c>
      <c r="N77" s="145">
        <v>12.09</v>
      </c>
      <c r="O77" s="145">
        <v>9.92</v>
      </c>
      <c r="P77" s="148">
        <v>97.078000000000003</v>
      </c>
      <c r="Q77" s="143">
        <f t="shared" si="2"/>
        <v>2.921999999999997</v>
      </c>
      <c r="R77" s="149">
        <v>4.7600000000000003E-2</v>
      </c>
      <c r="S77" s="149">
        <v>3.1600000000000003E-2</v>
      </c>
      <c r="T77" s="149">
        <v>1.6999999999999999E-3</v>
      </c>
      <c r="U77" s="149">
        <v>3.8999999999999998E-3</v>
      </c>
      <c r="V77" s="149">
        <v>0.88100000000000001</v>
      </c>
      <c r="W77" s="149">
        <v>9.2999999999999992E-3</v>
      </c>
      <c r="X77" s="149">
        <v>6.8390000000000004</v>
      </c>
      <c r="Y77" s="149">
        <v>6.0699999999999997E-2</v>
      </c>
      <c r="Z77" s="149">
        <v>1.216</v>
      </c>
      <c r="AA77" s="149">
        <v>2.9039999999999999</v>
      </c>
      <c r="AB77" s="149">
        <v>2.056</v>
      </c>
      <c r="AC77" s="149">
        <v>1.534</v>
      </c>
      <c r="AD77" s="145">
        <v>15.5848</v>
      </c>
    </row>
    <row r="78" spans="1:33" x14ac:dyDescent="0.2">
      <c r="A78" s="145"/>
      <c r="B78" s="146"/>
      <c r="C78" s="146"/>
      <c r="D78" s="147"/>
      <c r="E78" s="147"/>
      <c r="F78" s="147"/>
      <c r="G78" s="147"/>
      <c r="H78" s="148"/>
      <c r="I78" s="147"/>
      <c r="J78" s="148"/>
      <c r="K78" s="148"/>
      <c r="L78" s="148"/>
      <c r="M78" s="148"/>
      <c r="N78" s="148"/>
      <c r="O78" s="148"/>
      <c r="P78" s="148"/>
      <c r="Q78" s="143"/>
      <c r="R78" s="149"/>
      <c r="S78" s="149"/>
      <c r="T78" s="149"/>
      <c r="U78" s="149"/>
      <c r="V78" s="149"/>
      <c r="W78" s="149"/>
      <c r="X78" s="149"/>
      <c r="Y78" s="149"/>
      <c r="Z78" s="149"/>
      <c r="AA78" s="149"/>
      <c r="AB78" s="149"/>
      <c r="AC78" s="149"/>
      <c r="AD78" s="148"/>
    </row>
    <row r="79" spans="1:33" ht="17" x14ac:dyDescent="0.2">
      <c r="A79" s="145" t="s">
        <v>463</v>
      </c>
      <c r="B79" s="146">
        <v>0</v>
      </c>
      <c r="C79" s="146">
        <v>-607.64408782747034</v>
      </c>
      <c r="D79" s="147">
        <v>0.46660000000000001</v>
      </c>
      <c r="E79" s="147">
        <v>0</v>
      </c>
      <c r="F79" s="147">
        <v>0</v>
      </c>
      <c r="G79" s="147">
        <v>2.7900000000000001E-2</v>
      </c>
      <c r="H79" s="145">
        <v>3.26</v>
      </c>
      <c r="I79" s="147">
        <v>4.3900000000000002E-2</v>
      </c>
      <c r="J79" s="145">
        <v>47.15</v>
      </c>
      <c r="K79" s="148">
        <v>0.35570000000000002</v>
      </c>
      <c r="L79" s="145">
        <v>10.48</v>
      </c>
      <c r="M79" s="145">
        <v>13.58</v>
      </c>
      <c r="N79" s="145">
        <v>12.04</v>
      </c>
      <c r="O79" s="145">
        <v>9.9600000000000009</v>
      </c>
      <c r="P79" s="148">
        <v>97.364199999999997</v>
      </c>
      <c r="Q79" s="143">
        <f t="shared" si="2"/>
        <v>2.6358000000000033</v>
      </c>
      <c r="R79" s="149">
        <v>5.0599999999999999E-2</v>
      </c>
      <c r="S79" s="149">
        <v>0</v>
      </c>
      <c r="T79" s="149">
        <v>0</v>
      </c>
      <c r="U79" s="149">
        <v>3.3999999999999998E-3</v>
      </c>
      <c r="V79" s="149">
        <v>0.91300000000000003</v>
      </c>
      <c r="W79" s="149">
        <v>5.0000000000000001E-3</v>
      </c>
      <c r="X79" s="149">
        <v>6.8019999999999996</v>
      </c>
      <c r="Y79" s="149">
        <v>6.5500000000000003E-2</v>
      </c>
      <c r="Z79" s="149">
        <v>1.264</v>
      </c>
      <c r="AA79" s="149">
        <v>2.9209999999999998</v>
      </c>
      <c r="AB79" s="149">
        <v>2.0470000000000002</v>
      </c>
      <c r="AC79" s="149">
        <v>1.5389999999999999</v>
      </c>
      <c r="AD79" s="145">
        <v>15.6105</v>
      </c>
    </row>
    <row r="80" spans="1:33" ht="17" x14ac:dyDescent="0.2">
      <c r="A80" s="145" t="s">
        <v>464</v>
      </c>
      <c r="B80" s="146">
        <v>152.73506473630005</v>
      </c>
      <c r="C80" s="146">
        <v>-454.9090230911703</v>
      </c>
      <c r="D80" s="147">
        <v>0.43330000000000002</v>
      </c>
      <c r="E80" s="147">
        <v>4.7399999999999998E-2</v>
      </c>
      <c r="F80" s="147">
        <v>1.1999999999999999E-3</v>
      </c>
      <c r="G80" s="147">
        <v>4.6399999999999997E-2</v>
      </c>
      <c r="H80" s="145">
        <v>3.33</v>
      </c>
      <c r="I80" s="147">
        <v>3.3300000000000003E-2</v>
      </c>
      <c r="J80" s="145">
        <v>47.02</v>
      </c>
      <c r="K80" s="148">
        <v>0.35339999999999999</v>
      </c>
      <c r="L80" s="145">
        <v>10.37</v>
      </c>
      <c r="M80" s="145">
        <v>13.47</v>
      </c>
      <c r="N80" s="145">
        <v>12.21</v>
      </c>
      <c r="O80" s="145">
        <v>9.83</v>
      </c>
      <c r="P80" s="148">
        <v>97.145099999999999</v>
      </c>
      <c r="Q80" s="143">
        <f t="shared" si="2"/>
        <v>2.8549000000000007</v>
      </c>
      <c r="R80" s="149">
        <v>4.7100000000000003E-2</v>
      </c>
      <c r="S80" s="149">
        <v>2.1700000000000001E-2</v>
      </c>
      <c r="T80" s="149">
        <v>2.9999999999999997E-4</v>
      </c>
      <c r="U80" s="149">
        <v>5.7000000000000002E-3</v>
      </c>
      <c r="V80" s="149">
        <v>0.93300000000000005</v>
      </c>
      <c r="W80" s="149">
        <v>3.8E-3</v>
      </c>
      <c r="X80" s="149">
        <v>6.798</v>
      </c>
      <c r="Y80" s="149">
        <v>6.5199999999999994E-2</v>
      </c>
      <c r="Z80" s="149">
        <v>1.2529999999999999</v>
      </c>
      <c r="AA80" s="149">
        <v>2.9020000000000001</v>
      </c>
      <c r="AB80" s="149">
        <v>2.081</v>
      </c>
      <c r="AC80" s="149">
        <v>1.522</v>
      </c>
      <c r="AD80" s="145">
        <v>15.6328</v>
      </c>
    </row>
    <row r="81" spans="1:33" ht="17" x14ac:dyDescent="0.2">
      <c r="A81" s="145" t="s">
        <v>465</v>
      </c>
      <c r="B81" s="146">
        <v>304.05591591022028</v>
      </c>
      <c r="C81" s="146">
        <v>-303.58817191725007</v>
      </c>
      <c r="D81" s="147">
        <v>0.44540000000000002</v>
      </c>
      <c r="E81" s="147">
        <v>4.7000000000000002E-3</v>
      </c>
      <c r="F81" s="147">
        <v>4.4000000000000003E-3</v>
      </c>
      <c r="G81" s="147">
        <v>2.4899999999999999E-2</v>
      </c>
      <c r="H81" s="145">
        <v>3.25</v>
      </c>
      <c r="I81" s="147">
        <v>5.7999999999999996E-3</v>
      </c>
      <c r="J81" s="145">
        <v>46.76</v>
      </c>
      <c r="K81" s="148">
        <v>0.3508</v>
      </c>
      <c r="L81" s="145">
        <v>10.6</v>
      </c>
      <c r="M81" s="145">
        <v>13.23</v>
      </c>
      <c r="N81" s="145">
        <v>12.52</v>
      </c>
      <c r="O81" s="145">
        <v>9.89</v>
      </c>
      <c r="P81" s="148">
        <v>97.085999999999999</v>
      </c>
      <c r="Q81" s="143">
        <f t="shared" si="2"/>
        <v>2.9140000000000015</v>
      </c>
      <c r="R81" s="149">
        <v>4.8500000000000001E-2</v>
      </c>
      <c r="S81" s="149">
        <v>2.2000000000000001E-3</v>
      </c>
      <c r="T81" s="149">
        <v>1.1000000000000001E-3</v>
      </c>
      <c r="U81" s="149">
        <v>3.0999999999999999E-3</v>
      </c>
      <c r="V81" s="149">
        <v>0.91100000000000003</v>
      </c>
      <c r="W81" s="149">
        <v>6.9999999999999999E-4</v>
      </c>
      <c r="X81" s="149">
        <v>6.7670000000000003</v>
      </c>
      <c r="Y81" s="149">
        <v>6.4799999999999996E-2</v>
      </c>
      <c r="Z81" s="149">
        <v>1.284</v>
      </c>
      <c r="AA81" s="149">
        <v>2.855</v>
      </c>
      <c r="AB81" s="149">
        <v>2.1360000000000001</v>
      </c>
      <c r="AC81" s="149">
        <v>1.534</v>
      </c>
      <c r="AD81" s="145">
        <v>15.6075</v>
      </c>
    </row>
    <row r="82" spans="1:33" ht="17" x14ac:dyDescent="0.2">
      <c r="A82" s="145" t="s">
        <v>466</v>
      </c>
      <c r="B82" s="146">
        <v>456.0855182908067</v>
      </c>
      <c r="C82" s="146">
        <v>-151.55856953666367</v>
      </c>
      <c r="D82" s="147">
        <v>0.4597</v>
      </c>
      <c r="E82" s="147">
        <v>6.5699999999999995E-2</v>
      </c>
      <c r="F82" s="147">
        <v>0</v>
      </c>
      <c r="G82" s="147">
        <v>2.5399999999999999E-2</v>
      </c>
      <c r="H82" s="145">
        <v>3.22</v>
      </c>
      <c r="I82" s="147">
        <v>4.4499999999999998E-2</v>
      </c>
      <c r="J82" s="145">
        <v>46.95</v>
      </c>
      <c r="K82" s="148">
        <v>0.38640000000000002</v>
      </c>
      <c r="L82" s="145">
        <v>10.34</v>
      </c>
      <c r="M82" s="145">
        <v>13.23</v>
      </c>
      <c r="N82" s="145">
        <v>12.57</v>
      </c>
      <c r="O82" s="145">
        <v>9.7799999999999994</v>
      </c>
      <c r="P82" s="148">
        <v>97.071799999999996</v>
      </c>
      <c r="Q82" s="143">
        <f t="shared" si="2"/>
        <v>2.9282000000000039</v>
      </c>
      <c r="R82" s="149">
        <v>0.05</v>
      </c>
      <c r="S82" s="149">
        <v>0.03</v>
      </c>
      <c r="T82" s="149">
        <v>0</v>
      </c>
      <c r="U82" s="149">
        <v>3.0999999999999999E-3</v>
      </c>
      <c r="V82" s="149">
        <v>0.90400000000000003</v>
      </c>
      <c r="W82" s="149">
        <v>5.1000000000000004E-3</v>
      </c>
      <c r="X82" s="149">
        <v>6.7869999999999999</v>
      </c>
      <c r="Y82" s="149">
        <v>7.1300000000000002E-2</v>
      </c>
      <c r="Z82" s="149">
        <v>1.25</v>
      </c>
      <c r="AA82" s="149">
        <v>2.851</v>
      </c>
      <c r="AB82" s="149">
        <v>2.1419999999999999</v>
      </c>
      <c r="AC82" s="149">
        <v>1.514</v>
      </c>
      <c r="AD82" s="145">
        <v>15.6076</v>
      </c>
    </row>
    <row r="83" spans="1:33" ht="17" x14ac:dyDescent="0.2">
      <c r="A83" s="145" t="s">
        <v>467</v>
      </c>
      <c r="B83" s="146">
        <v>607.64408782747034</v>
      </c>
      <c r="C83" s="146">
        <v>0</v>
      </c>
      <c r="D83" s="147">
        <v>0.42549999999999999</v>
      </c>
      <c r="E83" s="147">
        <v>6.9999999999999999E-4</v>
      </c>
      <c r="F83" s="147">
        <v>4.1000000000000003E-3</v>
      </c>
      <c r="G83" s="147">
        <v>4.7899999999999998E-2</v>
      </c>
      <c r="H83" s="145">
        <v>3.34</v>
      </c>
      <c r="I83" s="147">
        <v>3.04E-2</v>
      </c>
      <c r="J83" s="145">
        <v>47.38</v>
      </c>
      <c r="K83" s="148">
        <v>0.3508</v>
      </c>
      <c r="L83" s="145">
        <v>10.63</v>
      </c>
      <c r="M83" s="145">
        <v>13.24</v>
      </c>
      <c r="N83" s="145">
        <v>12.33</v>
      </c>
      <c r="O83" s="145">
        <v>9.6300000000000008</v>
      </c>
      <c r="P83" s="148">
        <v>97.409499999999994</v>
      </c>
      <c r="Q83" s="143">
        <f t="shared" si="2"/>
        <v>2.5905000000000058</v>
      </c>
      <c r="R83" s="149">
        <v>4.6100000000000002E-2</v>
      </c>
      <c r="S83" s="149">
        <v>2.9999999999999997E-4</v>
      </c>
      <c r="T83" s="149">
        <v>1E-3</v>
      </c>
      <c r="U83" s="149">
        <v>5.7999999999999996E-3</v>
      </c>
      <c r="V83" s="149">
        <v>0.93400000000000005</v>
      </c>
      <c r="W83" s="149">
        <v>3.5000000000000001E-3</v>
      </c>
      <c r="X83" s="149">
        <v>6.8239999999999998</v>
      </c>
      <c r="Y83" s="149">
        <v>6.4500000000000002E-2</v>
      </c>
      <c r="Z83" s="149">
        <v>1.28</v>
      </c>
      <c r="AA83" s="149">
        <v>2.8420000000000001</v>
      </c>
      <c r="AB83" s="149">
        <v>2.0939999999999999</v>
      </c>
      <c r="AC83" s="149">
        <v>1.486</v>
      </c>
      <c r="AD83" s="145">
        <v>15.581200000000001</v>
      </c>
    </row>
    <row r="84" spans="1:33" x14ac:dyDescent="0.2">
      <c r="A84" s="145"/>
      <c r="B84" s="146"/>
      <c r="C84" s="146"/>
      <c r="D84" s="147"/>
      <c r="E84" s="147"/>
      <c r="F84" s="147"/>
      <c r="G84" s="147"/>
      <c r="H84" s="148"/>
      <c r="I84" s="147"/>
      <c r="J84" s="148"/>
      <c r="K84" s="148"/>
      <c r="L84" s="148"/>
      <c r="M84" s="148"/>
      <c r="N84" s="148"/>
      <c r="O84" s="148"/>
      <c r="P84" s="148"/>
      <c r="Q84" s="143"/>
      <c r="R84" s="149"/>
      <c r="S84" s="149"/>
      <c r="T84" s="149"/>
      <c r="U84" s="149"/>
      <c r="V84" s="149"/>
      <c r="W84" s="149"/>
      <c r="X84" s="149"/>
      <c r="Y84" s="149"/>
      <c r="Z84" s="149"/>
      <c r="AA84" s="149"/>
      <c r="AB84" s="149"/>
      <c r="AC84" s="149"/>
      <c r="AD84" s="148"/>
    </row>
    <row r="85" spans="1:33" ht="51" x14ac:dyDescent="0.2">
      <c r="A85" s="145" t="s">
        <v>260</v>
      </c>
      <c r="B85" s="146"/>
      <c r="C85" s="146"/>
      <c r="D85" s="147">
        <f>AVERAGE(D73:D77,D79:D83)</f>
        <v>0.4494999999999999</v>
      </c>
      <c r="E85" s="147">
        <f>AVERAGE(E73:E77,E79:E83)</f>
        <v>2.7519999999999999E-2</v>
      </c>
      <c r="F85" s="147">
        <f t="shared" ref="F85:AD85" si="6">AVERAGE(F73:F77,F79:F83)</f>
        <v>3.9199999999999999E-3</v>
      </c>
      <c r="G85" s="147">
        <f t="shared" si="6"/>
        <v>2.8330000000000001E-2</v>
      </c>
      <c r="H85" s="148">
        <f t="shared" si="6"/>
        <v>3.2389999999999999</v>
      </c>
      <c r="I85" s="147">
        <f t="shared" si="6"/>
        <v>4.2369999999999998E-2</v>
      </c>
      <c r="J85" s="148">
        <f t="shared" si="6"/>
        <v>47.207999999999991</v>
      </c>
      <c r="K85" s="148">
        <f t="shared" si="6"/>
        <v>0.34914000000000006</v>
      </c>
      <c r="L85" s="148">
        <f t="shared" si="6"/>
        <v>10.327</v>
      </c>
      <c r="M85" s="148">
        <f t="shared" si="6"/>
        <v>13.468999999999999</v>
      </c>
      <c r="N85" s="148">
        <f t="shared" si="6"/>
        <v>12.193000000000001</v>
      </c>
      <c r="O85" s="148">
        <f t="shared" si="6"/>
        <v>9.838000000000001</v>
      </c>
      <c r="P85" s="148">
        <f t="shared" si="6"/>
        <v>97.174859999999995</v>
      </c>
      <c r="Q85" s="148">
        <f t="shared" si="6"/>
        <v>2.825140000000002</v>
      </c>
      <c r="R85" s="149">
        <f t="shared" si="6"/>
        <v>4.8799999999999996E-2</v>
      </c>
      <c r="S85" s="149">
        <f t="shared" si="6"/>
        <v>1.2570000000000001E-2</v>
      </c>
      <c r="T85" s="149">
        <f t="shared" si="6"/>
        <v>9.6000000000000013E-4</v>
      </c>
      <c r="U85" s="149">
        <f t="shared" si="6"/>
        <v>3.4599999999999991E-3</v>
      </c>
      <c r="V85" s="149">
        <f t="shared" si="6"/>
        <v>0.90679999999999994</v>
      </c>
      <c r="W85" s="149">
        <f t="shared" si="6"/>
        <v>4.8399999999999997E-3</v>
      </c>
      <c r="X85" s="149">
        <f t="shared" si="6"/>
        <v>6.8140000000000001</v>
      </c>
      <c r="Y85" s="149">
        <f t="shared" si="6"/>
        <v>6.4310000000000006E-2</v>
      </c>
      <c r="Z85" s="149">
        <f t="shared" si="6"/>
        <v>1.2466000000000002</v>
      </c>
      <c r="AA85" s="149">
        <f t="shared" si="6"/>
        <v>2.8979999999999997</v>
      </c>
      <c r="AB85" s="149">
        <f t="shared" si="6"/>
        <v>2.0749</v>
      </c>
      <c r="AC85" s="149">
        <f t="shared" si="6"/>
        <v>1.5211999999999999</v>
      </c>
      <c r="AD85" s="148">
        <f t="shared" si="6"/>
        <v>15.59647</v>
      </c>
      <c r="AE85" s="137" t="s">
        <v>607</v>
      </c>
      <c r="AF85" s="137" t="s">
        <v>608</v>
      </c>
      <c r="AG85" s="137" t="s">
        <v>610</v>
      </c>
    </row>
    <row r="87" spans="1:33" ht="17" x14ac:dyDescent="0.2">
      <c r="A87" s="145" t="s">
        <v>597</v>
      </c>
      <c r="B87" s="146">
        <v>0</v>
      </c>
      <c r="C87" s="146">
        <v>-127.54397586863206</v>
      </c>
      <c r="D87" s="147">
        <v>0.29459999999999997</v>
      </c>
      <c r="E87" s="147">
        <v>0.17749999999999999</v>
      </c>
      <c r="F87" s="147">
        <v>7.6E-3</v>
      </c>
      <c r="G87" s="147">
        <v>9.3700000000000006E-2</v>
      </c>
      <c r="H87" s="145">
        <v>4.21</v>
      </c>
      <c r="I87" s="147">
        <v>4.3200000000000002E-2</v>
      </c>
      <c r="J87" s="145">
        <v>48.45</v>
      </c>
      <c r="K87" s="148">
        <v>0.27679999999999999</v>
      </c>
      <c r="L87" s="145">
        <v>14.01</v>
      </c>
      <c r="M87" s="145">
        <v>11.21</v>
      </c>
      <c r="N87" s="145">
        <v>11.1</v>
      </c>
      <c r="O87" s="145">
        <v>7.46</v>
      </c>
      <c r="P87" s="148">
        <v>97.333500000000001</v>
      </c>
      <c r="Q87" s="143">
        <f t="shared" ref="Q87:Q91" si="7">100-P87</f>
        <v>2.6664999999999992</v>
      </c>
      <c r="R87" s="149">
        <v>3.2300000000000002E-2</v>
      </c>
      <c r="S87" s="149">
        <v>8.1799999999999998E-2</v>
      </c>
      <c r="T87" s="149">
        <v>1.9E-3</v>
      </c>
      <c r="U87" s="149">
        <v>1.1599999999999999E-2</v>
      </c>
      <c r="V87" s="149">
        <v>1.1910000000000001</v>
      </c>
      <c r="W87" s="149">
        <v>5.0000000000000001E-3</v>
      </c>
      <c r="X87" s="149">
        <v>7.0629999999999997</v>
      </c>
      <c r="Y87" s="149">
        <v>5.1499999999999997E-2</v>
      </c>
      <c r="Z87" s="149">
        <v>1.7070000000000001</v>
      </c>
      <c r="AA87" s="149">
        <v>2.4350000000000001</v>
      </c>
      <c r="AB87" s="149">
        <v>1.907</v>
      </c>
      <c r="AC87" s="149">
        <v>1.1659999999999999</v>
      </c>
      <c r="AD87" s="145">
        <v>15.6531</v>
      </c>
    </row>
    <row r="88" spans="1:33" ht="17" x14ac:dyDescent="0.2">
      <c r="A88" s="145" t="s">
        <v>598</v>
      </c>
      <c r="B88" s="146">
        <v>32.202484376213619</v>
      </c>
      <c r="C88" s="146">
        <v>-95.341491492418442</v>
      </c>
      <c r="D88" s="147">
        <v>0.29799999999999999</v>
      </c>
      <c r="E88" s="147">
        <v>0.222</v>
      </c>
      <c r="F88" s="147">
        <v>8.9999999999999998E-4</v>
      </c>
      <c r="G88" s="147">
        <v>9.0800000000000006E-2</v>
      </c>
      <c r="H88" s="145">
        <v>4.04</v>
      </c>
      <c r="I88" s="147">
        <v>5.5500000000000001E-2</v>
      </c>
      <c r="J88" s="145">
        <v>48.49</v>
      </c>
      <c r="K88" s="148">
        <v>0.24199999999999999</v>
      </c>
      <c r="L88" s="145">
        <v>13.35</v>
      </c>
      <c r="M88" s="145">
        <v>11.63</v>
      </c>
      <c r="N88" s="145">
        <v>10.89</v>
      </c>
      <c r="O88" s="145">
        <v>7.91</v>
      </c>
      <c r="P88" s="148">
        <v>97.219300000000004</v>
      </c>
      <c r="Q88" s="143">
        <f t="shared" si="7"/>
        <v>2.780699999999996</v>
      </c>
      <c r="R88" s="149">
        <v>3.2599999999999997E-2</v>
      </c>
      <c r="S88" s="149">
        <v>0.1023</v>
      </c>
      <c r="T88" s="149">
        <v>2.0000000000000001E-4</v>
      </c>
      <c r="U88" s="149">
        <v>1.12E-2</v>
      </c>
      <c r="V88" s="149">
        <v>1.141</v>
      </c>
      <c r="W88" s="149">
        <v>6.4000000000000003E-3</v>
      </c>
      <c r="X88" s="149">
        <v>7.0640000000000001</v>
      </c>
      <c r="Y88" s="149">
        <v>4.4999999999999998E-2</v>
      </c>
      <c r="Z88" s="149">
        <v>1.627</v>
      </c>
      <c r="AA88" s="149">
        <v>2.5270000000000001</v>
      </c>
      <c r="AB88" s="149">
        <v>1.87</v>
      </c>
      <c r="AC88" s="149">
        <v>1.234</v>
      </c>
      <c r="AD88" s="145">
        <v>15.6607</v>
      </c>
    </row>
    <row r="89" spans="1:33" ht="17" x14ac:dyDescent="0.2">
      <c r="A89" s="145" t="s">
        <v>599</v>
      </c>
      <c r="B89" s="146">
        <v>63.982981540350934</v>
      </c>
      <c r="C89" s="146">
        <v>-63.560994328281119</v>
      </c>
      <c r="D89" s="147">
        <v>0.2586</v>
      </c>
      <c r="E89" s="147">
        <v>0.22409999999999999</v>
      </c>
      <c r="F89" s="147">
        <v>2.9999999999999997E-4</v>
      </c>
      <c r="G89" s="147">
        <v>9.8299999999999998E-2</v>
      </c>
      <c r="H89" s="145">
        <v>3.92</v>
      </c>
      <c r="I89" s="147">
        <v>6.88E-2</v>
      </c>
      <c r="J89" s="145">
        <v>49.3</v>
      </c>
      <c r="K89" s="148">
        <v>0.22059999999999999</v>
      </c>
      <c r="L89" s="145">
        <v>13.33</v>
      </c>
      <c r="M89" s="145">
        <v>12.28</v>
      </c>
      <c r="N89" s="145">
        <v>10.1</v>
      </c>
      <c r="O89" s="145">
        <v>7.91</v>
      </c>
      <c r="P89" s="148">
        <v>97.710800000000006</v>
      </c>
      <c r="Q89" s="143">
        <f t="shared" si="7"/>
        <v>2.2891999999999939</v>
      </c>
      <c r="R89" s="149">
        <v>2.81E-2</v>
      </c>
      <c r="S89" s="149">
        <v>0.1026</v>
      </c>
      <c r="T89" s="149">
        <v>1E-4</v>
      </c>
      <c r="U89" s="149">
        <v>1.21E-2</v>
      </c>
      <c r="V89" s="149">
        <v>1.101</v>
      </c>
      <c r="W89" s="149">
        <v>7.9000000000000008E-3</v>
      </c>
      <c r="X89" s="149">
        <v>7.1369999999999996</v>
      </c>
      <c r="Y89" s="149">
        <v>4.07E-2</v>
      </c>
      <c r="Z89" s="149">
        <v>1.613</v>
      </c>
      <c r="AA89" s="149">
        <v>2.6509999999999998</v>
      </c>
      <c r="AB89" s="149">
        <v>1.724</v>
      </c>
      <c r="AC89" s="149">
        <v>1.226</v>
      </c>
      <c r="AD89" s="145">
        <v>15.6435</v>
      </c>
    </row>
    <row r="90" spans="1:33" ht="17" x14ac:dyDescent="0.2">
      <c r="A90" s="145" t="s">
        <v>600</v>
      </c>
      <c r="B90" s="146">
        <v>95.76347870449473</v>
      </c>
      <c r="C90" s="146">
        <v>-31.780497164137319</v>
      </c>
      <c r="D90" s="147">
        <v>0.2218</v>
      </c>
      <c r="E90" s="147">
        <v>0.26619999999999999</v>
      </c>
      <c r="F90" s="147">
        <v>3.8E-3</v>
      </c>
      <c r="G90" s="147">
        <v>9.2299999999999993E-2</v>
      </c>
      <c r="H90" s="145">
        <v>4.21</v>
      </c>
      <c r="I90" s="147">
        <v>5.7099999999999998E-2</v>
      </c>
      <c r="J90" s="145">
        <v>49.11</v>
      </c>
      <c r="K90" s="148">
        <v>0.27879999999999999</v>
      </c>
      <c r="L90" s="145">
        <v>13.64</v>
      </c>
      <c r="M90" s="145">
        <v>11.59</v>
      </c>
      <c r="N90" s="145">
        <v>10.9</v>
      </c>
      <c r="O90" s="145">
        <v>7.49</v>
      </c>
      <c r="P90" s="148">
        <v>97.860100000000003</v>
      </c>
      <c r="Q90" s="143">
        <f t="shared" si="7"/>
        <v>2.1398999999999972</v>
      </c>
      <c r="R90" s="149">
        <v>2.41E-2</v>
      </c>
      <c r="S90" s="149">
        <v>0.12189999999999999</v>
      </c>
      <c r="T90" s="149">
        <v>8.9999999999999998E-4</v>
      </c>
      <c r="U90" s="149">
        <v>1.1299999999999999E-2</v>
      </c>
      <c r="V90" s="149">
        <v>1.18</v>
      </c>
      <c r="W90" s="149">
        <v>6.4999999999999997E-3</v>
      </c>
      <c r="X90" s="149">
        <v>7.1070000000000002</v>
      </c>
      <c r="Y90" s="149">
        <v>5.1499999999999997E-2</v>
      </c>
      <c r="Z90" s="149">
        <v>1.65</v>
      </c>
      <c r="AA90" s="149">
        <v>2.5009999999999999</v>
      </c>
      <c r="AB90" s="149">
        <v>1.859</v>
      </c>
      <c r="AC90" s="149">
        <v>1.161</v>
      </c>
      <c r="AD90" s="145">
        <v>15.674200000000001</v>
      </c>
    </row>
    <row r="91" spans="1:33" ht="17" x14ac:dyDescent="0.2">
      <c r="A91" s="145" t="s">
        <v>601</v>
      </c>
      <c r="B91" s="146">
        <v>127.54397586863205</v>
      </c>
      <c r="C91" s="146">
        <v>0</v>
      </c>
      <c r="D91" s="147">
        <v>0.30690000000000001</v>
      </c>
      <c r="E91" s="147">
        <v>0.27010000000000001</v>
      </c>
      <c r="F91" s="147">
        <v>1.5E-3</v>
      </c>
      <c r="G91" s="147">
        <v>9.7299999999999998E-2</v>
      </c>
      <c r="H91" s="145">
        <v>4.3499999999999996</v>
      </c>
      <c r="I91" s="147">
        <v>7.0400000000000004E-2</v>
      </c>
      <c r="J91" s="145">
        <v>48.84</v>
      </c>
      <c r="K91" s="148">
        <v>0.247</v>
      </c>
      <c r="L91" s="145">
        <v>13.52</v>
      </c>
      <c r="M91" s="145">
        <v>11.49</v>
      </c>
      <c r="N91" s="145">
        <v>10.67</v>
      </c>
      <c r="O91" s="145">
        <v>7.33</v>
      </c>
      <c r="P91" s="148">
        <v>97.193299999999994</v>
      </c>
      <c r="Q91" s="143">
        <f t="shared" si="7"/>
        <v>2.8067000000000064</v>
      </c>
      <c r="R91" s="149">
        <v>3.3599999999999998E-2</v>
      </c>
      <c r="S91" s="149">
        <v>0.1245</v>
      </c>
      <c r="T91" s="149">
        <v>4.0000000000000002E-4</v>
      </c>
      <c r="U91" s="149">
        <v>1.2E-2</v>
      </c>
      <c r="V91" s="149">
        <v>1.228</v>
      </c>
      <c r="W91" s="149">
        <v>8.0999999999999996E-3</v>
      </c>
      <c r="X91" s="149">
        <v>7.117</v>
      </c>
      <c r="Y91" s="149">
        <v>4.5900000000000003E-2</v>
      </c>
      <c r="Z91" s="149">
        <v>1.6479999999999999</v>
      </c>
      <c r="AA91" s="149">
        <v>2.496</v>
      </c>
      <c r="AB91" s="149">
        <v>1.833</v>
      </c>
      <c r="AC91" s="149">
        <v>1.1439999999999999</v>
      </c>
      <c r="AD91" s="145">
        <v>15.6905</v>
      </c>
    </row>
    <row r="92" spans="1:33" x14ac:dyDescent="0.2">
      <c r="K92" s="140"/>
      <c r="P92" s="140"/>
      <c r="R92" s="141"/>
      <c r="S92" s="141"/>
      <c r="T92" s="141"/>
      <c r="U92" s="141"/>
      <c r="V92" s="141"/>
      <c r="W92" s="141"/>
      <c r="X92" s="141"/>
      <c r="Y92" s="141"/>
      <c r="Z92" s="141"/>
      <c r="AA92" s="141"/>
      <c r="AB92" s="141"/>
      <c r="AC92" s="141"/>
    </row>
    <row r="93" spans="1:33" ht="51" x14ac:dyDescent="0.2">
      <c r="A93" s="137" t="s">
        <v>276</v>
      </c>
      <c r="D93" s="138">
        <f>AVERAGE(D87:D91)</f>
        <v>0.27598</v>
      </c>
      <c r="E93" s="138">
        <f t="shared" ref="E93:AD93" si="8">AVERAGE(E87:E91)</f>
        <v>0.23197999999999999</v>
      </c>
      <c r="F93" s="138">
        <f t="shared" si="8"/>
        <v>2.82E-3</v>
      </c>
      <c r="G93" s="140">
        <f t="shared" si="8"/>
        <v>9.4479999999999995E-2</v>
      </c>
      <c r="H93" s="140">
        <f t="shared" si="8"/>
        <v>4.145999999999999</v>
      </c>
      <c r="I93" s="140">
        <f t="shared" si="8"/>
        <v>5.9000000000000011E-2</v>
      </c>
      <c r="J93" s="140">
        <f t="shared" si="8"/>
        <v>48.838000000000008</v>
      </c>
      <c r="K93" s="140">
        <f t="shared" si="8"/>
        <v>0.25304000000000004</v>
      </c>
      <c r="L93" s="140">
        <f t="shared" si="8"/>
        <v>13.569999999999999</v>
      </c>
      <c r="M93" s="140">
        <f t="shared" si="8"/>
        <v>11.640000000000002</v>
      </c>
      <c r="N93" s="140">
        <f t="shared" si="8"/>
        <v>10.732000000000001</v>
      </c>
      <c r="O93" s="140">
        <f t="shared" si="8"/>
        <v>7.62</v>
      </c>
      <c r="P93" s="140">
        <f t="shared" si="8"/>
        <v>97.463400000000007</v>
      </c>
      <c r="Q93" s="140">
        <f t="shared" si="8"/>
        <v>2.5365999999999986</v>
      </c>
      <c r="R93" s="141">
        <f t="shared" si="8"/>
        <v>3.014E-2</v>
      </c>
      <c r="S93" s="141">
        <f t="shared" si="8"/>
        <v>0.10661999999999998</v>
      </c>
      <c r="T93" s="141">
        <f t="shared" si="8"/>
        <v>6.9999999999999988E-4</v>
      </c>
      <c r="U93" s="141">
        <f t="shared" si="8"/>
        <v>1.1640000000000001E-2</v>
      </c>
      <c r="V93" s="141">
        <f t="shared" si="8"/>
        <v>1.1681999999999999</v>
      </c>
      <c r="W93" s="141">
        <f t="shared" si="8"/>
        <v>6.7799999999999996E-3</v>
      </c>
      <c r="X93" s="141">
        <f t="shared" si="8"/>
        <v>7.0975999999999999</v>
      </c>
      <c r="Y93" s="141">
        <f t="shared" si="8"/>
        <v>4.6919999999999996E-2</v>
      </c>
      <c r="Z93" s="141">
        <f t="shared" si="8"/>
        <v>1.6489999999999998</v>
      </c>
      <c r="AA93" s="141">
        <f t="shared" si="8"/>
        <v>2.5219999999999998</v>
      </c>
      <c r="AB93" s="141">
        <f t="shared" si="8"/>
        <v>1.8386</v>
      </c>
      <c r="AC93" s="141">
        <f t="shared" si="8"/>
        <v>1.1861999999999999</v>
      </c>
      <c r="AD93" s="140">
        <f t="shared" si="8"/>
        <v>15.664400000000001</v>
      </c>
      <c r="AE93" s="137" t="s">
        <v>602</v>
      </c>
      <c r="AF93" s="137" t="s">
        <v>611</v>
      </c>
      <c r="AG93" s="137" t="s">
        <v>612</v>
      </c>
    </row>
  </sheetData>
  <mergeCells count="4">
    <mergeCell ref="D3:Q3"/>
    <mergeCell ref="R3:AD3"/>
    <mergeCell ref="AE3:AG3"/>
    <mergeCell ref="A3:C3"/>
  </mergeCells>
  <phoneticPr fontId="16" type="noConversion"/>
  <pageMargins left="0.75" right="0.75" top="1" bottom="1" header="0.5" footer="0.5"/>
  <pageSetup scale="20" orientation="portrait" horizontalDpi="4294967292" verticalDpi="4294967292"/>
  <rowBreaks count="1" manualBreakCount="1">
    <brk id="97" max="16383" man="1"/>
  </rowBreaks>
  <colBreaks count="1" manualBreakCount="1">
    <brk id="33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O11"/>
  <sheetViews>
    <sheetView workbookViewId="0">
      <selection activeCell="C5" sqref="C5"/>
    </sheetView>
  </sheetViews>
  <sheetFormatPr baseColWidth="10" defaultRowHeight="16" x14ac:dyDescent="0.2"/>
  <cols>
    <col min="1" max="2" width="10.83203125" style="20"/>
    <col min="3" max="3" width="15" style="20" customWidth="1"/>
    <col min="4" max="4" width="8.1640625" style="20" customWidth="1"/>
    <col min="5" max="5" width="8.1640625" style="56" customWidth="1"/>
    <col min="6" max="6" width="8.1640625" style="20" customWidth="1"/>
    <col min="7" max="7" width="8.1640625" style="56" customWidth="1"/>
    <col min="8" max="8" width="8.1640625" style="20" customWidth="1"/>
    <col min="9" max="9" width="8.1640625" style="56" customWidth="1"/>
    <col min="10" max="10" width="8.1640625" style="20" customWidth="1"/>
    <col min="11" max="11" width="8.1640625" style="56" customWidth="1"/>
    <col min="12" max="13" width="8.1640625" style="20" customWidth="1"/>
    <col min="14" max="16384" width="10.83203125" style="20"/>
  </cols>
  <sheetData>
    <row r="1" spans="1:15" s="90" customFormat="1" x14ac:dyDescent="0.2">
      <c r="A1" s="116" t="s">
        <v>697</v>
      </c>
    </row>
    <row r="2" spans="1:15" s="90" customFormat="1" x14ac:dyDescent="0.2">
      <c r="A2" s="117" t="s">
        <v>698</v>
      </c>
    </row>
    <row r="3" spans="1:15" x14ac:dyDescent="0.2">
      <c r="A3" s="21" t="s">
        <v>623</v>
      </c>
    </row>
    <row r="4" spans="1:15" x14ac:dyDescent="0.2">
      <c r="C4" s="14"/>
      <c r="D4" s="99" t="s">
        <v>363</v>
      </c>
      <c r="E4" s="99"/>
      <c r="F4" s="99"/>
      <c r="G4" s="99"/>
      <c r="H4" s="99"/>
      <c r="I4" s="99"/>
      <c r="J4" s="99"/>
      <c r="K4" s="99"/>
      <c r="L4" s="99"/>
      <c r="M4" s="99"/>
      <c r="N4" s="34"/>
      <c r="O4" s="34"/>
    </row>
    <row r="5" spans="1:15" ht="51" x14ac:dyDescent="0.2">
      <c r="B5" s="20" t="s">
        <v>468</v>
      </c>
      <c r="C5" s="35" t="s">
        <v>469</v>
      </c>
      <c r="D5" s="33" t="s">
        <v>470</v>
      </c>
      <c r="E5" s="57" t="s">
        <v>577</v>
      </c>
      <c r="F5" s="33" t="s">
        <v>365</v>
      </c>
      <c r="G5" s="57" t="s">
        <v>577</v>
      </c>
      <c r="H5" s="33" t="s">
        <v>107</v>
      </c>
      <c r="I5" s="57" t="s">
        <v>577</v>
      </c>
      <c r="J5" s="33" t="s">
        <v>366</v>
      </c>
      <c r="K5" s="57" t="s">
        <v>577</v>
      </c>
      <c r="L5" s="33" t="s">
        <v>115</v>
      </c>
      <c r="M5" s="33" t="s">
        <v>471</v>
      </c>
    </row>
    <row r="6" spans="1:15" ht="17" x14ac:dyDescent="0.2">
      <c r="A6" s="35" t="s">
        <v>11</v>
      </c>
      <c r="B6" s="20">
        <v>5</v>
      </c>
      <c r="C6" s="20">
        <v>23</v>
      </c>
      <c r="D6" s="23">
        <v>40.937391304347827</v>
      </c>
      <c r="E6" s="13">
        <v>8.0000000000000002E-3</v>
      </c>
      <c r="F6" s="23">
        <v>2.9691304347826075</v>
      </c>
      <c r="G6" s="13">
        <v>7.6999999999999999E-2</v>
      </c>
      <c r="H6" s="23">
        <v>53.936956521739141</v>
      </c>
      <c r="I6" s="13">
        <v>8.0000000000000002E-3</v>
      </c>
      <c r="J6" s="36">
        <v>5.149565217391304E-2</v>
      </c>
      <c r="K6" s="41">
        <v>0.157</v>
      </c>
      <c r="L6" s="23">
        <f t="shared" ref="L6:L11" si="0">SUM(D6,F6,H6,J6)</f>
        <v>97.894973913043486</v>
      </c>
      <c r="M6" s="23">
        <f t="shared" ref="M6:M11" si="1">100-L6</f>
        <v>2.1050260869565136</v>
      </c>
      <c r="N6" s="23"/>
    </row>
    <row r="7" spans="1:15" ht="17" x14ac:dyDescent="0.2">
      <c r="A7" s="35" t="s">
        <v>13</v>
      </c>
      <c r="B7" s="20">
        <v>5</v>
      </c>
      <c r="C7" s="20">
        <v>27</v>
      </c>
      <c r="D7" s="23">
        <v>41.62444444444445</v>
      </c>
      <c r="E7" s="13">
        <v>1.4999999999999999E-2</v>
      </c>
      <c r="F7" s="23">
        <v>3.2540740740740741</v>
      </c>
      <c r="G7" s="13">
        <v>3.2000000000000001E-2</v>
      </c>
      <c r="H7" s="23">
        <v>53.524444444444448</v>
      </c>
      <c r="I7" s="13">
        <v>1.0999999999999999E-2</v>
      </c>
      <c r="J7" s="36">
        <v>4.0974074074074079E-2</v>
      </c>
      <c r="K7" s="58">
        <v>0.75</v>
      </c>
      <c r="L7" s="23">
        <f t="shared" si="0"/>
        <v>98.443937037037045</v>
      </c>
      <c r="M7" s="23">
        <f t="shared" si="1"/>
        <v>1.5560629629629545</v>
      </c>
    </row>
    <row r="8" spans="1:15" ht="17" x14ac:dyDescent="0.2">
      <c r="A8" s="35" t="s">
        <v>14</v>
      </c>
      <c r="B8" s="20">
        <v>3</v>
      </c>
      <c r="C8" s="20">
        <v>10</v>
      </c>
      <c r="D8" s="23">
        <v>41.93</v>
      </c>
      <c r="E8" s="13">
        <v>6.0000000000000001E-3</v>
      </c>
      <c r="F8" s="23">
        <v>2.1509999999999998</v>
      </c>
      <c r="G8" s="13">
        <v>4.3999999999999997E-2</v>
      </c>
      <c r="H8" s="23">
        <v>52.463000000000001</v>
      </c>
      <c r="I8" s="13">
        <v>1.2E-2</v>
      </c>
      <c r="J8" s="36">
        <v>1.924E-2</v>
      </c>
      <c r="K8" s="58">
        <v>0.54300000000000004</v>
      </c>
      <c r="L8" s="23">
        <f t="shared" si="0"/>
        <v>96.563240000000008</v>
      </c>
      <c r="M8" s="23">
        <f t="shared" si="1"/>
        <v>3.4367599999999925</v>
      </c>
    </row>
    <row r="9" spans="1:15" ht="17" x14ac:dyDescent="0.2">
      <c r="A9" s="35" t="s">
        <v>15</v>
      </c>
      <c r="B9" s="20">
        <v>3</v>
      </c>
      <c r="C9" s="20">
        <v>9</v>
      </c>
      <c r="D9" s="23">
        <v>42.016666666666666</v>
      </c>
      <c r="E9" s="13">
        <v>6.0000000000000001E-3</v>
      </c>
      <c r="F9" s="23">
        <v>1.4688888888888889</v>
      </c>
      <c r="G9" s="13">
        <v>5.6000000000000001E-2</v>
      </c>
      <c r="H9" s="23">
        <v>52.190000000000005</v>
      </c>
      <c r="I9" s="13">
        <v>5.0000000000000001E-3</v>
      </c>
      <c r="J9" s="36">
        <v>1.9655555555555551E-2</v>
      </c>
      <c r="K9" s="58">
        <v>0.13900000000000001</v>
      </c>
      <c r="L9" s="23">
        <f t="shared" si="0"/>
        <v>95.695211111111121</v>
      </c>
      <c r="M9" s="23">
        <f t="shared" si="1"/>
        <v>4.3047888888888792</v>
      </c>
    </row>
    <row r="10" spans="1:15" ht="17" x14ac:dyDescent="0.2">
      <c r="A10" s="35" t="s">
        <v>16</v>
      </c>
      <c r="B10" s="20">
        <v>3</v>
      </c>
      <c r="C10" s="20">
        <v>9</v>
      </c>
      <c r="D10" s="23">
        <v>41.997777777777777</v>
      </c>
      <c r="E10" s="13">
        <v>5.0000000000000001E-3</v>
      </c>
      <c r="F10" s="23">
        <v>1.4933333333333332</v>
      </c>
      <c r="G10" s="13">
        <v>6.6000000000000003E-2</v>
      </c>
      <c r="H10" s="23">
        <v>52.387777777777778</v>
      </c>
      <c r="I10" s="13">
        <v>3.0000000000000001E-3</v>
      </c>
      <c r="J10" s="36">
        <v>3.0444444444444441E-2</v>
      </c>
      <c r="K10" s="58">
        <v>0.13300000000000001</v>
      </c>
      <c r="L10" s="23">
        <f t="shared" si="0"/>
        <v>95.909333333333336</v>
      </c>
      <c r="M10" s="23">
        <f t="shared" si="1"/>
        <v>4.0906666666666638</v>
      </c>
    </row>
    <row r="11" spans="1:15" ht="17" x14ac:dyDescent="0.2">
      <c r="A11" s="35" t="s">
        <v>17</v>
      </c>
      <c r="B11" s="20">
        <v>3</v>
      </c>
      <c r="C11" s="20">
        <v>9</v>
      </c>
      <c r="D11" s="23">
        <v>41.922222222222224</v>
      </c>
      <c r="E11" s="13">
        <v>7.0000000000000001E-3</v>
      </c>
      <c r="F11" s="23">
        <v>2.3422222222222215</v>
      </c>
      <c r="G11" s="13">
        <v>5.7000000000000002E-2</v>
      </c>
      <c r="H11" s="23">
        <v>51.637777777777778</v>
      </c>
      <c r="I11" s="13">
        <v>3.0000000000000001E-3</v>
      </c>
      <c r="J11" s="36">
        <v>2.8822222222222218E-2</v>
      </c>
      <c r="K11" s="58">
        <v>0.17799999999999999</v>
      </c>
      <c r="L11" s="23">
        <f t="shared" si="0"/>
        <v>95.931044444444439</v>
      </c>
      <c r="M11" s="23">
        <f t="shared" si="1"/>
        <v>4.0689555555555614</v>
      </c>
    </row>
  </sheetData>
  <mergeCells count="1">
    <mergeCell ref="D4:M4"/>
  </mergeCells>
  <phoneticPr fontId="16" type="noConversion"/>
  <pageMargins left="0.75" right="0.75" top="1" bottom="1" header="0.5" footer="0.5"/>
  <pageSetup scale="67" orientation="portrait" horizontalDpi="4294967292" verticalDpi="4294967292"/>
  <rowBreaks count="1" manualBreakCount="1">
    <brk id="24" max="16383" man="1"/>
  </rowBreaks>
  <colBreaks count="1" manualBreakCount="1">
    <brk id="14" max="1048575" man="1"/>
  </colBreaks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1"/>
  <sheetViews>
    <sheetView workbookViewId="0">
      <selection activeCell="A12" sqref="A12"/>
    </sheetView>
  </sheetViews>
  <sheetFormatPr baseColWidth="10" defaultRowHeight="16" x14ac:dyDescent="0.2"/>
  <cols>
    <col min="1" max="1" width="29.5" customWidth="1"/>
  </cols>
  <sheetData>
    <row r="1" spans="1:15" x14ac:dyDescent="0.2">
      <c r="A1" s="116" t="s">
        <v>697</v>
      </c>
    </row>
    <row r="2" spans="1:15" x14ac:dyDescent="0.2">
      <c r="A2" s="117" t="s">
        <v>698</v>
      </c>
    </row>
    <row r="3" spans="1:15" ht="38" customHeight="1" x14ac:dyDescent="0.2">
      <c r="A3" s="150" t="s">
        <v>624</v>
      </c>
      <c r="B3" s="150"/>
      <c r="C3" s="94" t="s">
        <v>399</v>
      </c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5" x14ac:dyDescent="0.2">
      <c r="A4" s="1" t="s">
        <v>472</v>
      </c>
      <c r="B4" s="1" t="s">
        <v>473</v>
      </c>
      <c r="C4" s="1" t="s">
        <v>110</v>
      </c>
      <c r="D4" s="1" t="s">
        <v>365</v>
      </c>
      <c r="E4" s="1" t="s">
        <v>112</v>
      </c>
      <c r="F4" s="1" t="s">
        <v>366</v>
      </c>
      <c r="G4" s="1" t="s">
        <v>109</v>
      </c>
      <c r="H4" s="1" t="s">
        <v>105</v>
      </c>
      <c r="I4" s="1" t="s">
        <v>111</v>
      </c>
      <c r="J4" s="1" t="s">
        <v>107</v>
      </c>
      <c r="K4" s="1" t="s">
        <v>108</v>
      </c>
      <c r="L4" s="1" t="s">
        <v>114</v>
      </c>
      <c r="M4" s="1" t="s">
        <v>106</v>
      </c>
      <c r="N4" s="1" t="s">
        <v>113</v>
      </c>
      <c r="O4" s="1" t="s">
        <v>115</v>
      </c>
    </row>
    <row r="5" spans="1:15" x14ac:dyDescent="0.2">
      <c r="A5" t="s">
        <v>474</v>
      </c>
      <c r="B5">
        <v>46</v>
      </c>
      <c r="C5">
        <v>36.97</v>
      </c>
      <c r="D5">
        <v>0</v>
      </c>
      <c r="E5" s="37">
        <v>1.15E-2</v>
      </c>
      <c r="F5">
        <v>9.1999999999999998E-3</v>
      </c>
      <c r="G5" s="37">
        <v>1.15E-2</v>
      </c>
      <c r="H5" s="38">
        <v>0.105</v>
      </c>
      <c r="I5">
        <v>29.65</v>
      </c>
      <c r="J5">
        <v>28.38</v>
      </c>
      <c r="K5" s="39">
        <v>4.5400000000000003E-2</v>
      </c>
      <c r="L5" s="38">
        <v>1.1299999999999999E-2</v>
      </c>
      <c r="M5" s="38">
        <v>1.8423</v>
      </c>
      <c r="N5" s="38">
        <v>0.2044</v>
      </c>
      <c r="O5" s="38">
        <v>97.240700000000004</v>
      </c>
    </row>
    <row r="6" spans="1:15" x14ac:dyDescent="0.2">
      <c r="A6" t="s">
        <v>475</v>
      </c>
      <c r="B6">
        <v>47</v>
      </c>
      <c r="C6">
        <v>36.78</v>
      </c>
      <c r="D6">
        <v>0</v>
      </c>
      <c r="E6" s="37">
        <v>1.38E-2</v>
      </c>
      <c r="F6">
        <v>1.24E-2</v>
      </c>
      <c r="G6" s="37">
        <v>2.0799999999999999E-2</v>
      </c>
      <c r="H6" s="38">
        <v>0.10249999999999999</v>
      </c>
      <c r="I6">
        <v>29.91</v>
      </c>
      <c r="J6">
        <v>28.23</v>
      </c>
      <c r="K6" s="39">
        <v>2.8500000000000001E-2</v>
      </c>
      <c r="L6" s="38">
        <v>0</v>
      </c>
      <c r="M6" s="38">
        <v>1.8540000000000001</v>
      </c>
      <c r="N6" s="38">
        <v>0.222</v>
      </c>
      <c r="O6" s="38">
        <v>97.174099999999996</v>
      </c>
    </row>
    <row r="7" spans="1:15" x14ac:dyDescent="0.2">
      <c r="A7" t="s">
        <v>476</v>
      </c>
      <c r="B7">
        <v>48</v>
      </c>
      <c r="C7">
        <v>36.479999999999997</v>
      </c>
      <c r="D7">
        <v>0</v>
      </c>
      <c r="E7" s="37">
        <v>1.35E-2</v>
      </c>
      <c r="F7">
        <v>3.8E-3</v>
      </c>
      <c r="G7" s="37">
        <v>9.6699999999999994E-2</v>
      </c>
      <c r="H7" s="38">
        <v>8.3099999999999993E-2</v>
      </c>
      <c r="I7">
        <v>29.83</v>
      </c>
      <c r="J7">
        <v>28.3</v>
      </c>
      <c r="K7" s="39">
        <v>3.1E-2</v>
      </c>
      <c r="L7" s="38">
        <v>0</v>
      </c>
      <c r="M7" s="38">
        <v>2.0699999999999998</v>
      </c>
      <c r="N7" s="38">
        <v>0.1978</v>
      </c>
      <c r="O7" s="38">
        <v>97.105900000000005</v>
      </c>
    </row>
    <row r="8" spans="1:15" x14ac:dyDescent="0.2">
      <c r="A8" t="s">
        <v>477</v>
      </c>
      <c r="B8">
        <v>49</v>
      </c>
      <c r="C8">
        <v>36.96</v>
      </c>
      <c r="D8">
        <v>0</v>
      </c>
      <c r="E8" s="37">
        <v>1.1599999999999999E-2</v>
      </c>
      <c r="F8">
        <v>6.4999999999999997E-3</v>
      </c>
      <c r="G8" s="37">
        <v>4.3799999999999999E-2</v>
      </c>
      <c r="H8" s="38">
        <v>6.9099999999999995E-2</v>
      </c>
      <c r="I8">
        <v>29.89</v>
      </c>
      <c r="J8">
        <v>28.26</v>
      </c>
      <c r="K8" s="39">
        <v>6.0000000000000001E-3</v>
      </c>
      <c r="L8" s="38">
        <v>0</v>
      </c>
      <c r="M8" s="38">
        <v>1.7925</v>
      </c>
      <c r="N8" s="38">
        <v>0.20680000000000001</v>
      </c>
      <c r="O8" s="38">
        <v>97.246399999999994</v>
      </c>
    </row>
    <row r="9" spans="1:15" x14ac:dyDescent="0.2">
      <c r="A9" t="s">
        <v>478</v>
      </c>
      <c r="B9">
        <v>50</v>
      </c>
      <c r="C9">
        <v>36.909999999999997</v>
      </c>
      <c r="D9">
        <v>0</v>
      </c>
      <c r="E9" s="37">
        <v>1.5100000000000001E-2</v>
      </c>
      <c r="F9">
        <v>8.6E-3</v>
      </c>
      <c r="G9" s="37">
        <v>2.5399999999999999E-2</v>
      </c>
      <c r="H9" s="38">
        <v>7.0900000000000005E-2</v>
      </c>
      <c r="I9">
        <v>29.73</v>
      </c>
      <c r="J9">
        <v>28.18</v>
      </c>
      <c r="K9" s="39">
        <v>3.2000000000000001E-2</v>
      </c>
      <c r="L9" s="38">
        <v>0</v>
      </c>
      <c r="M9" s="38">
        <v>1.778</v>
      </c>
      <c r="N9" s="38">
        <v>0.27839999999999998</v>
      </c>
      <c r="O9" s="38">
        <v>97.028400000000005</v>
      </c>
    </row>
    <row r="10" spans="1:15" x14ac:dyDescent="0.2">
      <c r="E10" s="37"/>
      <c r="G10" s="37"/>
      <c r="H10" s="38"/>
      <c r="K10" s="39"/>
      <c r="L10" s="38"/>
      <c r="M10" s="38"/>
      <c r="N10" s="38"/>
      <c r="O10" s="38"/>
    </row>
    <row r="11" spans="1:15" x14ac:dyDescent="0.2">
      <c r="A11" t="s">
        <v>479</v>
      </c>
      <c r="C11">
        <f>AVERAGE(C5:C9)</f>
        <v>36.82</v>
      </c>
      <c r="D11">
        <f t="shared" ref="D11:O11" si="0">AVERAGE(D5:D9)</f>
        <v>0</v>
      </c>
      <c r="E11" s="37">
        <f t="shared" si="0"/>
        <v>1.3100000000000001E-2</v>
      </c>
      <c r="F11">
        <f t="shared" si="0"/>
        <v>8.1000000000000013E-3</v>
      </c>
      <c r="G11" s="37">
        <f t="shared" si="0"/>
        <v>3.9640000000000002E-2</v>
      </c>
      <c r="H11" s="38">
        <f t="shared" si="0"/>
        <v>8.6120000000000002E-2</v>
      </c>
      <c r="I11">
        <f t="shared" si="0"/>
        <v>29.802</v>
      </c>
      <c r="J11">
        <f t="shared" si="0"/>
        <v>28.27</v>
      </c>
      <c r="K11" s="39">
        <f t="shared" si="0"/>
        <v>2.8580000000000005E-2</v>
      </c>
      <c r="L11" s="38">
        <f t="shared" si="0"/>
        <v>2.2599999999999999E-3</v>
      </c>
      <c r="M11" s="38">
        <f t="shared" si="0"/>
        <v>1.8673600000000001</v>
      </c>
      <c r="N11" s="38">
        <f t="shared" si="0"/>
        <v>0.22187999999999999</v>
      </c>
      <c r="O11" s="38">
        <f t="shared" si="0"/>
        <v>97.159100000000009</v>
      </c>
    </row>
  </sheetData>
  <mergeCells count="2">
    <mergeCell ref="C3:O3"/>
    <mergeCell ref="A3:B3"/>
  </mergeCells>
  <phoneticPr fontId="16" type="noConversion"/>
  <pageMargins left="0.75" right="0.75" top="1" bottom="1" header="0.5" footer="0.5"/>
  <pageSetup scale="47" orientation="portrait" horizontalDpi="4294967292" verticalDpi="4294967292"/>
  <rowBreaks count="1" manualBreakCount="1">
    <brk id="16" max="16383" man="1"/>
  </rowBreaks>
  <colBreaks count="1" manualBreakCount="1">
    <brk id="15" max="1048575" man="1"/>
  </colBreak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T1 HAL Averages</vt:lpstr>
      <vt:lpstr>T2 Calc Modes</vt:lpstr>
      <vt:lpstr>T3 Bulk Calcs</vt:lpstr>
      <vt:lpstr>TS1 ME Grt</vt:lpstr>
      <vt:lpstr>TS2 ME Omph</vt:lpstr>
      <vt:lpstr>TS3 ME Phengite</vt:lpstr>
      <vt:lpstr>TS4 ME Amph</vt:lpstr>
      <vt:lpstr>TS5 ME Apt</vt:lpstr>
      <vt:lpstr>TS6 ME Titanite</vt:lpstr>
      <vt:lpstr>TS7 Halogen Profiles</vt:lpstr>
      <vt:lpstr>TS8 Intermin Ds</vt:lpstr>
      <vt:lpstr>TS9 Pyrohydrolysis Stds</vt:lpstr>
      <vt:lpstr>TS10 Grain Boundary Calc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Urann</dc:creator>
  <cp:lastModifiedBy>Assistant Editor</cp:lastModifiedBy>
  <cp:lastPrinted>2019-10-29T00:45:56Z</cp:lastPrinted>
  <dcterms:created xsi:type="dcterms:W3CDTF">2019-05-16T18:17:35Z</dcterms:created>
  <dcterms:modified xsi:type="dcterms:W3CDTF">2020-01-03T19:53:12Z</dcterms:modified>
</cp:coreProperties>
</file>